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eorge\Documents\FFGC Recording Secretary\Jan 2023 Board Meeting\"/>
    </mc:Choice>
  </mc:AlternateContent>
  <xr:revisionPtr revIDLastSave="0" documentId="8_{B02EBB07-901D-4B95-B875-979B210741C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tatement of Activity" sheetId="1" r:id="rId1"/>
  </sheets>
  <definedNames>
    <definedName name="_xlnm.Print_Titles" localSheetId="0">'Statement of Activity'!$5:$5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4" i="1" l="1"/>
  <c r="C172" i="1"/>
  <c r="C169" i="1"/>
  <c r="D170" i="1"/>
  <c r="D160" i="1"/>
  <c r="C207" i="1" l="1"/>
  <c r="C208" i="1" s="1"/>
  <c r="C209" i="1" s="1"/>
  <c r="C202" i="1"/>
  <c r="C197" i="1"/>
  <c r="C114" i="1"/>
  <c r="C138" i="1" s="1"/>
  <c r="D9" i="1"/>
  <c r="D13" i="1"/>
  <c r="D15" i="1"/>
  <c r="D19" i="1"/>
  <c r="D20" i="1"/>
  <c r="D21" i="1"/>
  <c r="D22" i="1"/>
  <c r="D29" i="1"/>
  <c r="D38" i="1"/>
  <c r="D54" i="1"/>
  <c r="D63" i="1"/>
  <c r="D66" i="1"/>
  <c r="D69" i="1"/>
  <c r="D72" i="1"/>
  <c r="D83" i="1"/>
  <c r="D86" i="1"/>
  <c r="D88" i="1"/>
  <c r="D92" i="1"/>
  <c r="D97" i="1"/>
  <c r="D104" i="1"/>
  <c r="D106" i="1"/>
  <c r="D112" i="1"/>
  <c r="D141" i="1"/>
  <c r="D144" i="1"/>
  <c r="D145" i="1"/>
  <c r="D146" i="1"/>
  <c r="D158" i="1"/>
  <c r="D159" i="1"/>
  <c r="D165" i="1"/>
  <c r="D167" i="1"/>
  <c r="D174" i="1"/>
  <c r="D178" i="1"/>
  <c r="D181" i="1"/>
  <c r="D186" i="1"/>
  <c r="D187" i="1"/>
  <c r="C192" i="1"/>
  <c r="C185" i="1"/>
  <c r="C182" i="1"/>
  <c r="C157" i="1"/>
  <c r="C153" i="1"/>
  <c r="C149" i="1"/>
  <c r="C95" i="1"/>
  <c r="C90" i="1"/>
  <c r="C79" i="1"/>
  <c r="C75" i="1"/>
  <c r="C55" i="1"/>
  <c r="C65" i="1" s="1"/>
  <c r="C49" i="1"/>
  <c r="C42" i="1"/>
  <c r="C35" i="1"/>
  <c r="C27" i="1"/>
  <c r="C16" i="1"/>
  <c r="B206" i="1"/>
  <c r="B207" i="1" s="1"/>
  <c r="B208" i="1" s="1"/>
  <c r="B201" i="1"/>
  <c r="D201" i="1" s="1"/>
  <c r="B200" i="1"/>
  <c r="D200" i="1" s="1"/>
  <c r="B198" i="1"/>
  <c r="D198" i="1" s="1"/>
  <c r="B196" i="1"/>
  <c r="D196" i="1" s="1"/>
  <c r="B195" i="1"/>
  <c r="D195" i="1" s="1"/>
  <c r="B191" i="1"/>
  <c r="D191" i="1" s="1"/>
  <c r="B190" i="1"/>
  <c r="D190" i="1" s="1"/>
  <c r="B188" i="1"/>
  <c r="D188" i="1" s="1"/>
  <c r="B184" i="1"/>
  <c r="D184" i="1" s="1"/>
  <c r="B183" i="1"/>
  <c r="D183" i="1" s="1"/>
  <c r="B180" i="1"/>
  <c r="D180" i="1" s="1"/>
  <c r="B179" i="1"/>
  <c r="D179" i="1" s="1"/>
  <c r="B177" i="1"/>
  <c r="D177" i="1" s="1"/>
  <c r="B176" i="1"/>
  <c r="D176" i="1" s="1"/>
  <c r="B175" i="1"/>
  <c r="D175" i="1" s="1"/>
  <c r="B173" i="1"/>
  <c r="D173" i="1" s="1"/>
  <c r="B171" i="1"/>
  <c r="D171" i="1" s="1"/>
  <c r="B168" i="1"/>
  <c r="D168" i="1" s="1"/>
  <c r="B167" i="1"/>
  <c r="B166" i="1"/>
  <c r="D166" i="1" s="1"/>
  <c r="B165" i="1"/>
  <c r="D164" i="1"/>
  <c r="B163" i="1"/>
  <c r="D163" i="1" s="1"/>
  <c r="B162" i="1"/>
  <c r="D162" i="1" s="1"/>
  <c r="B161" i="1"/>
  <c r="B156" i="1"/>
  <c r="D156" i="1" s="1"/>
  <c r="B155" i="1"/>
  <c r="D155" i="1" s="1"/>
  <c r="B154" i="1"/>
  <c r="D154" i="1" s="1"/>
  <c r="B152" i="1"/>
  <c r="D152" i="1" s="1"/>
  <c r="B153" i="1"/>
  <c r="B150" i="1"/>
  <c r="D150" i="1" s="1"/>
  <c r="B148" i="1"/>
  <c r="D148" i="1" s="1"/>
  <c r="B147" i="1"/>
  <c r="D147" i="1" s="1"/>
  <c r="B143" i="1"/>
  <c r="D143" i="1" s="1"/>
  <c r="B142" i="1"/>
  <c r="D142" i="1" s="1"/>
  <c r="D140" i="1"/>
  <c r="B137" i="1"/>
  <c r="D137" i="1" s="1"/>
  <c r="B136" i="1"/>
  <c r="D136" i="1" s="1"/>
  <c r="B135" i="1"/>
  <c r="D135" i="1" s="1"/>
  <c r="B134" i="1"/>
  <c r="D134" i="1" s="1"/>
  <c r="B133" i="1"/>
  <c r="D133" i="1" s="1"/>
  <c r="B132" i="1"/>
  <c r="D132" i="1" s="1"/>
  <c r="B131" i="1"/>
  <c r="D131" i="1" s="1"/>
  <c r="B130" i="1"/>
  <c r="D130" i="1" s="1"/>
  <c r="B129" i="1"/>
  <c r="D129" i="1" s="1"/>
  <c r="B128" i="1"/>
  <c r="D128" i="1" s="1"/>
  <c r="B127" i="1"/>
  <c r="D127" i="1" s="1"/>
  <c r="B126" i="1"/>
  <c r="D126" i="1" s="1"/>
  <c r="B125" i="1"/>
  <c r="D125" i="1" s="1"/>
  <c r="B124" i="1"/>
  <c r="D124" i="1" s="1"/>
  <c r="B123" i="1"/>
  <c r="D123" i="1" s="1"/>
  <c r="B122" i="1"/>
  <c r="D122" i="1" s="1"/>
  <c r="B121" i="1"/>
  <c r="D121" i="1" s="1"/>
  <c r="B120" i="1"/>
  <c r="D120" i="1" s="1"/>
  <c r="B119" i="1"/>
  <c r="D119" i="1" s="1"/>
  <c r="B118" i="1"/>
  <c r="D118" i="1" s="1"/>
  <c r="B117" i="1"/>
  <c r="D117" i="1" s="1"/>
  <c r="B116" i="1"/>
  <c r="D116" i="1" s="1"/>
  <c r="B115" i="1"/>
  <c r="D115" i="1" s="1"/>
  <c r="B113" i="1"/>
  <c r="D113" i="1" s="1"/>
  <c r="B112" i="1"/>
  <c r="B111" i="1"/>
  <c r="D111" i="1" s="1"/>
  <c r="B110" i="1"/>
  <c r="D110" i="1" s="1"/>
  <c r="B109" i="1"/>
  <c r="D109" i="1" s="1"/>
  <c r="B108" i="1"/>
  <c r="D108" i="1" s="1"/>
  <c r="B107" i="1"/>
  <c r="D107" i="1" s="1"/>
  <c r="B106" i="1"/>
  <c r="B105" i="1"/>
  <c r="D105" i="1" s="1"/>
  <c r="B103" i="1"/>
  <c r="D103" i="1" s="1"/>
  <c r="B102" i="1"/>
  <c r="D102" i="1" s="1"/>
  <c r="B101" i="1"/>
  <c r="D101" i="1" s="1"/>
  <c r="B100" i="1"/>
  <c r="D100" i="1" s="1"/>
  <c r="B99" i="1"/>
  <c r="D99" i="1" s="1"/>
  <c r="B98" i="1"/>
  <c r="D98" i="1" s="1"/>
  <c r="B94" i="1"/>
  <c r="D94" i="1" s="1"/>
  <c r="B93" i="1"/>
  <c r="D93" i="1" s="1"/>
  <c r="B88" i="1"/>
  <c r="B89" i="1" s="1"/>
  <c r="D89" i="1" s="1"/>
  <c r="B85" i="1"/>
  <c r="D85" i="1" s="1"/>
  <c r="B78" i="1"/>
  <c r="D78" i="1" s="1"/>
  <c r="B77" i="1"/>
  <c r="B79" i="1" s="1"/>
  <c r="D79" i="1" s="1"/>
  <c r="B74" i="1"/>
  <c r="D74" i="1" s="1"/>
  <c r="B73" i="1"/>
  <c r="D73" i="1" s="1"/>
  <c r="B70" i="1"/>
  <c r="D70" i="1" s="1"/>
  <c r="B68" i="1"/>
  <c r="D68" i="1" s="1"/>
  <c r="B67" i="1"/>
  <c r="D67" i="1" s="1"/>
  <c r="B64" i="1"/>
  <c r="D64" i="1" s="1"/>
  <c r="B63" i="1"/>
  <c r="B61" i="1"/>
  <c r="D61" i="1" s="1"/>
  <c r="B60" i="1"/>
  <c r="D60" i="1" s="1"/>
  <c r="B58" i="1"/>
  <c r="D58" i="1" s="1"/>
  <c r="B57" i="1"/>
  <c r="D57" i="1" s="1"/>
  <c r="B56" i="1"/>
  <c r="D56" i="1" s="1"/>
  <c r="B54" i="1"/>
  <c r="B53" i="1"/>
  <c r="B55" i="1" s="1"/>
  <c r="D55" i="1" s="1"/>
  <c r="B52" i="1"/>
  <c r="D52" i="1" s="1"/>
  <c r="B51" i="1"/>
  <c r="D51" i="1" s="1"/>
  <c r="B48" i="1"/>
  <c r="D48" i="1" s="1"/>
  <c r="B47" i="1"/>
  <c r="D47" i="1" s="1"/>
  <c r="B46" i="1"/>
  <c r="D46" i="1" s="1"/>
  <c r="B45" i="1"/>
  <c r="D45" i="1" s="1"/>
  <c r="B44" i="1"/>
  <c r="D44" i="1" s="1"/>
  <c r="B41" i="1"/>
  <c r="D41" i="1" s="1"/>
  <c r="B40" i="1"/>
  <c r="D40" i="1" s="1"/>
  <c r="B39" i="1"/>
  <c r="D39" i="1" s="1"/>
  <c r="B38" i="1"/>
  <c r="B37" i="1"/>
  <c r="D37" i="1" s="1"/>
  <c r="B33" i="1"/>
  <c r="D33" i="1" s="1"/>
  <c r="B32" i="1"/>
  <c r="D32" i="1" s="1"/>
  <c r="B30" i="1"/>
  <c r="B31" i="1" s="1"/>
  <c r="D31" i="1" s="1"/>
  <c r="B26" i="1"/>
  <c r="D26" i="1" s="1"/>
  <c r="B25" i="1"/>
  <c r="D25" i="1" s="1"/>
  <c r="B24" i="1"/>
  <c r="D24" i="1" s="1"/>
  <c r="B23" i="1"/>
  <c r="D23" i="1" s="1"/>
  <c r="B18" i="1"/>
  <c r="B14" i="1"/>
  <c r="B15" i="1" s="1"/>
  <c r="B12" i="1"/>
  <c r="D12" i="1" s="1"/>
  <c r="B11" i="1"/>
  <c r="D11" i="1" s="1"/>
  <c r="B10" i="1"/>
  <c r="B7" i="1"/>
  <c r="D7" i="1" s="1"/>
  <c r="D10" i="1" l="1"/>
  <c r="B16" i="1"/>
  <c r="D202" i="1"/>
  <c r="D203" i="1"/>
  <c r="B27" i="1"/>
  <c r="D27" i="1" s="1"/>
  <c r="C193" i="1"/>
  <c r="D161" i="1"/>
  <c r="D153" i="1"/>
  <c r="D206" i="1"/>
  <c r="D207" i="1" s="1"/>
  <c r="D208" i="1" s="1"/>
  <c r="D14" i="1"/>
  <c r="D77" i="1"/>
  <c r="D18" i="1"/>
  <c r="D151" i="1"/>
  <c r="D53" i="1"/>
  <c r="D30" i="1"/>
  <c r="B62" i="1"/>
  <c r="D62" i="1" s="1"/>
  <c r="B114" i="1"/>
  <c r="D114" i="1" s="1"/>
  <c r="B157" i="1"/>
  <c r="D157" i="1" s="1"/>
  <c r="B185" i="1"/>
  <c r="D185" i="1" s="1"/>
  <c r="B75" i="1"/>
  <c r="D75" i="1" s="1"/>
  <c r="B90" i="1"/>
  <c r="D90" i="1" s="1"/>
  <c r="B192" i="1"/>
  <c r="D192" i="1" s="1"/>
  <c r="B42" i="1"/>
  <c r="D42" i="1" s="1"/>
  <c r="B95" i="1"/>
  <c r="D95" i="1" s="1"/>
  <c r="B182" i="1"/>
  <c r="D182" i="1" s="1"/>
  <c r="B202" i="1"/>
  <c r="B197" i="1"/>
  <c r="D197" i="1" s="1"/>
  <c r="D16" i="1"/>
  <c r="B34" i="1"/>
  <c r="D34" i="1" s="1"/>
  <c r="B49" i="1"/>
  <c r="D49" i="1" s="1"/>
  <c r="B149" i="1"/>
  <c r="D149" i="1" s="1"/>
  <c r="B169" i="1"/>
  <c r="D169" i="1" s="1"/>
  <c r="B65" i="1"/>
  <c r="D65" i="1" s="1"/>
  <c r="D172" i="1" l="1"/>
  <c r="B172" i="1"/>
  <c r="B193" i="1" s="1"/>
  <c r="D193" i="1"/>
  <c r="B138" i="1"/>
  <c r="D138" i="1" s="1"/>
  <c r="B35" i="1"/>
  <c r="D35" i="1" s="1"/>
  <c r="B80" i="1" l="1"/>
  <c r="D80" i="1" s="1"/>
  <c r="B81" i="1"/>
  <c r="D81" i="1" s="1"/>
  <c r="D204" i="1" s="1"/>
  <c r="B204" i="1" l="1"/>
  <c r="D209" i="1" s="1"/>
  <c r="B209" i="1" l="1"/>
</calcChain>
</file>

<file path=xl/sharedStrings.xml><?xml version="1.0" encoding="utf-8"?>
<sst xmlns="http://schemas.openxmlformats.org/spreadsheetml/2006/main" count="211" uniqueCount="211">
  <si>
    <t>Revenue</t>
  </si>
  <si>
    <t xml:space="preserve">   100 100th Anniversary celebration!</t>
  </si>
  <si>
    <t xml:space="preserve">   6000 GENERAL INCOME</t>
  </si>
  <si>
    <t xml:space="preserve">      6001 Dues - Members</t>
  </si>
  <si>
    <t xml:space="preserve">      6003 Dues - Affiliate member</t>
  </si>
  <si>
    <t xml:space="preserve">      6004 FFGC  Life Memberships</t>
  </si>
  <si>
    <t xml:space="preserve">      6005.1 Undesignated Donations</t>
  </si>
  <si>
    <t xml:space="preserve">      6008 Headquarters Rental (H&amp;E)</t>
  </si>
  <si>
    <t xml:space="preserve">         6008.2 Taxable Rentals</t>
  </si>
  <si>
    <t xml:space="preserve">      Total 6008 Headquarters Rental (H&amp;E)</t>
  </si>
  <si>
    <t xml:space="preserve">   Total 6000 GENERAL INCOME</t>
  </si>
  <si>
    <t xml:space="preserve">   6100 PROGRAM SERVICES (FFGC)</t>
  </si>
  <si>
    <t xml:space="preserve">      6101 FFGC/UF Short Course</t>
  </si>
  <si>
    <t xml:space="preserve">      6108 Short Course North</t>
  </si>
  <si>
    <t xml:space="preserve">      6109 Avon Park</t>
  </si>
  <si>
    <t xml:space="preserve">      6201 TFG Subscriptions</t>
  </si>
  <si>
    <t xml:space="preserve">      6202 Fl Gardener Adv.Income</t>
  </si>
  <si>
    <t xml:space="preserve">   Total 6100 PROGRAM SERVICES (FFGC)</t>
  </si>
  <si>
    <t xml:space="preserve">   6300 SERVICE ITEMS (FFGC)</t>
  </si>
  <si>
    <t xml:space="preserve">      6302 Flower Arr Calendar</t>
  </si>
  <si>
    <t xml:space="preserve">         6302.01 2021 Calendars</t>
  </si>
  <si>
    <t xml:space="preserve">      Total 6302 Flower Arr Calendar</t>
  </si>
  <si>
    <t xml:space="preserve">      6308 WAYS AND MEANS-SALES (FFGC)</t>
  </si>
  <si>
    <t xml:space="preserve">         6308.1 Square Inc</t>
  </si>
  <si>
    <t xml:space="preserve">      Total 6308 WAYS AND MEANS-SALES (FFGC)</t>
  </si>
  <si>
    <t xml:space="preserve">   Total 6300 SERVICE ITEMS (FFGC)</t>
  </si>
  <si>
    <t xml:space="preserve">   6400 INVESTMENT INCOME</t>
  </si>
  <si>
    <t xml:space="preserve">      6401 Interest Earned - Gen Fd (FFGC)</t>
  </si>
  <si>
    <t xml:space="preserve">      6403 Interest Earned Grant Account</t>
  </si>
  <si>
    <t xml:space="preserve">      6407 Int earned- Scholarship</t>
  </si>
  <si>
    <t xml:space="preserve">      6410 Int Earned H&amp;E</t>
  </si>
  <si>
    <t xml:space="preserve">      6424 Interest on Wekiva B&amp;M</t>
  </si>
  <si>
    <t xml:space="preserve">   Total 6400 INVESTMENT INCOME</t>
  </si>
  <si>
    <t xml:space="preserve">   6500 MISCELLANEOUS INCOME (FFGC)</t>
  </si>
  <si>
    <t xml:space="preserve">      6307.4 Amazon.com</t>
  </si>
  <si>
    <t xml:space="preserve">      6308.3 Credit Card Points</t>
  </si>
  <si>
    <t xml:space="preserve">      6507 Miscellaneous Revenue</t>
  </si>
  <si>
    <t xml:space="preserve">      6507.2 Sales Tax Collection Allowance</t>
  </si>
  <si>
    <t xml:space="preserve">      6507.3 Insurance Claim Proceeds</t>
  </si>
  <si>
    <t xml:space="preserve">   Total 6500 MISCELLANEOUS INCOME (FFGC)</t>
  </si>
  <si>
    <t xml:space="preserve">   6600 WEKIVA INCOME</t>
  </si>
  <si>
    <t xml:space="preserve">      6604 Wekiva Critter Camp</t>
  </si>
  <si>
    <t xml:space="preserve">      6605.2 Campership Donations</t>
  </si>
  <si>
    <t xml:space="preserve">      6605.3 Undesignated Donations</t>
  </si>
  <si>
    <t xml:space="preserve">         6605.34 In Memory of Carol Wood</t>
  </si>
  <si>
    <t xml:space="preserve">      Total 6605.3 Undesignated Donations</t>
  </si>
  <si>
    <t xml:space="preserve">      6605.4 Designated Donations</t>
  </si>
  <si>
    <t xml:space="preserve">      6607 Interest and Dividends</t>
  </si>
  <si>
    <t xml:space="preserve">      6609 Wekiva Misc Income</t>
  </si>
  <si>
    <t xml:space="preserve">      6610 Wekiva Registrations</t>
  </si>
  <si>
    <t xml:space="preserve">         6610.2 GC Sponsored($250)</t>
  </si>
  <si>
    <t xml:space="preserve">         6610.4 Parent Paid Registrations</t>
  </si>
  <si>
    <t xml:space="preserve">      Total 6610 Wekiva Registrations</t>
  </si>
  <si>
    <t xml:space="preserve">      6612 Wekiva 9th Grade(LIT)</t>
  </si>
  <si>
    <t xml:space="preserve">      6614 Logo Sales</t>
  </si>
  <si>
    <t xml:space="preserve">   Total 6600 WEKIVA INCOME</t>
  </si>
  <si>
    <t xml:space="preserve">   6700 CONTRIBUTIONS</t>
  </si>
  <si>
    <t xml:space="preserve">      6005 Pillar of Pride</t>
  </si>
  <si>
    <t xml:space="preserve">      6007.1 bricks/garden path (H&amp;E)</t>
  </si>
  <si>
    <t xml:space="preserve">      6307.10 Coral Reef Restoration</t>
  </si>
  <si>
    <t xml:space="preserve">      6307.3 Penny Pines</t>
  </si>
  <si>
    <t xml:space="preserve">      6504 Scholarships</t>
  </si>
  <si>
    <t xml:space="preserve">   Total 6700 CONTRIBUTIONS</t>
  </si>
  <si>
    <t xml:space="preserve">   7000 SPECIAL CONTRIBUTIONS/PROJECTS</t>
  </si>
  <si>
    <t xml:space="preserve">      7004 Convention Awards</t>
  </si>
  <si>
    <t xml:space="preserve">      7019 SEEK Youth Envir. Conf.</t>
  </si>
  <si>
    <t xml:space="preserve">   Total 7000 SPECIAL CONTRIBUTIONS/PROJECTS</t>
  </si>
  <si>
    <t>Total Revenue</t>
  </si>
  <si>
    <t>Gross Profit</t>
  </si>
  <si>
    <t>Expenditures</t>
  </si>
  <si>
    <t xml:space="preserve">   8000 GENERAL EXPENSES</t>
  </si>
  <si>
    <t xml:space="preserve">      8001 NGC Dues -Members</t>
  </si>
  <si>
    <t xml:space="preserve">      8008 HQ RENTAL EXPENDITIURES (H&amp;E)</t>
  </si>
  <si>
    <t xml:space="preserve">         8008.6 Janitorial (SYMM Svcs)</t>
  </si>
  <si>
    <t xml:space="preserve">      Total 8008 HQ RENTAL EXPENDITIURES (H&amp;E)</t>
  </si>
  <si>
    <t xml:space="preserve">   Total 8000 GENERAL EXPENSES</t>
  </si>
  <si>
    <t xml:space="preserve">   8100 PROGRAM SERVICES EXPENSES</t>
  </si>
  <si>
    <t xml:space="preserve">      8101 State Convention</t>
  </si>
  <si>
    <t xml:space="preserve">      8202 Fl Gardener-Circulation</t>
  </si>
  <si>
    <t xml:space="preserve">      8202.1 Florida Gardener Postage</t>
  </si>
  <si>
    <t xml:space="preserve">   Total 8100 PROGRAM SERVICES EXPENSES</t>
  </si>
  <si>
    <t xml:space="preserve">   8600 WEKIVA EXPENSE</t>
  </si>
  <si>
    <t xml:space="preserve">      8601.2 Tour Team Expense</t>
  </si>
  <si>
    <t xml:space="preserve">      8604 Wekiva Bldg &amp; Maintenan</t>
  </si>
  <si>
    <t xml:space="preserve">      8604.10 Wekiva Bldg. Expenses</t>
  </si>
  <si>
    <t xml:space="preserve">      8605 Wekiva Camp Supplies</t>
  </si>
  <si>
    <t xml:space="preserve">      8605.1 Nametags</t>
  </si>
  <si>
    <t xml:space="preserve">      8606 Wekiva Canteen</t>
  </si>
  <si>
    <t xml:space="preserve">      8609 Wekiva Clinic</t>
  </si>
  <si>
    <t xml:space="preserve">      8610 Wekiva Crafts</t>
  </si>
  <si>
    <t xml:space="preserve">      8612 Wekiva - Food</t>
  </si>
  <si>
    <t xml:space="preserve">      8612.5 Cleaning Supplies and Maint.</t>
  </si>
  <si>
    <t xml:space="preserve">      8613 Wekiva Insurance</t>
  </si>
  <si>
    <t xml:space="preserve">      8613.01 Wekiva Workers' Comp. Insurance</t>
  </si>
  <si>
    <t xml:space="preserve">      8614 Wekiva Miscellaneous</t>
  </si>
  <si>
    <t xml:space="preserve">         8614.1 fingerprinting</t>
  </si>
  <si>
    <t xml:space="preserve">      Total 8614 Wekiva Miscellaneous</t>
  </si>
  <si>
    <t xml:space="preserve">      8616 Wekiva Office Exp</t>
  </si>
  <si>
    <t xml:space="preserve">      8617 Salaries</t>
  </si>
  <si>
    <t xml:space="preserve">      8618 Wekiva -Payroll Taxes</t>
  </si>
  <si>
    <t xml:space="preserve">      8619 Wekiva Postage</t>
  </si>
  <si>
    <t xml:space="preserve">      8622 Wekiva 7th Gr Program</t>
  </si>
  <si>
    <t xml:space="preserve">      8623 Wekiva 8th Gr Program</t>
  </si>
  <si>
    <t xml:space="preserve">      8624 Wekiva 9th Gr Prog(LIT)</t>
  </si>
  <si>
    <t xml:space="preserve">      8624.1 Camper Pictures &amp; Dogtags</t>
  </si>
  <si>
    <t xml:space="preserve">      8625 Wekiva  Wages - Staff</t>
  </si>
  <si>
    <t xml:space="preserve">      8627 Wekiva-Wages-Kitchen</t>
  </si>
  <si>
    <t xml:space="preserve">      8627.1 Wekiva Waterfront Expense</t>
  </si>
  <si>
    <t xml:space="preserve">      8627.2 Wekiva Website Hosting</t>
  </si>
  <si>
    <t xml:space="preserve">      8628 Wekiva Telephone &amp; Internet</t>
  </si>
  <si>
    <t xml:space="preserve">      8629 WYC designated donation purchas</t>
  </si>
  <si>
    <t xml:space="preserve">      8630 Wekiva Park Fees</t>
  </si>
  <si>
    <t xml:space="preserve">      8631 Wekiva Nature</t>
  </si>
  <si>
    <t xml:space="preserve">      8632 Wekiva Transportation</t>
  </si>
  <si>
    <t xml:space="preserve">      8633 Wekiva Legal and Accounting</t>
  </si>
  <si>
    <t xml:space="preserve">      8636 Wekiva - Bank &amp; CC Fees</t>
  </si>
  <si>
    <t xml:space="preserve">      8638 Wekiva Registration Expense</t>
  </si>
  <si>
    <t xml:space="preserve">      8639 Amer. Camp Assoc. ACA</t>
  </si>
  <si>
    <t xml:space="preserve">      8641 Opening/Closing/set up camp</t>
  </si>
  <si>
    <t xml:space="preserve">      8642 Volunteers</t>
  </si>
  <si>
    <t xml:space="preserve">   Total 8600 WEKIVA EXPENSE</t>
  </si>
  <si>
    <t xml:space="preserve">   8900 OPERATING EXPENSES</t>
  </si>
  <si>
    <t xml:space="preserve">      8901 BOD Meeting Hospitality</t>
  </si>
  <si>
    <t xml:space="preserve">      8902 Bank Charges-General Fd</t>
  </si>
  <si>
    <t xml:space="preserve">      8907 District Mtg Tour Expenses</t>
  </si>
  <si>
    <t xml:space="preserve">      8921 Insurance</t>
  </si>
  <si>
    <t xml:space="preserve">         8921.1 Workers' Compensation</t>
  </si>
  <si>
    <t xml:space="preserve">      Total 8921 Insurance</t>
  </si>
  <si>
    <t xml:space="preserve">      8923 Legal &amp; Accounting</t>
  </si>
  <si>
    <t xml:space="preserve">      8927 MISCELLANEOUS EXPENSES</t>
  </si>
  <si>
    <t xml:space="preserve">         8927.1 1st Time Conv. Attendees Party</t>
  </si>
  <si>
    <t xml:space="preserve">      Total 8927 MISCELLANEOUS EXPENSES</t>
  </si>
  <si>
    <t xml:space="preserve">      8929 OFFICE SUPPLIES</t>
  </si>
  <si>
    <t xml:space="preserve">         8943 Postage</t>
  </si>
  <si>
    <t xml:space="preserve">         8945 Printing &amp; Stationery</t>
  </si>
  <si>
    <t xml:space="preserve">      Total 8929 OFFICE SUPPLIES</t>
  </si>
  <si>
    <t xml:space="preserve">      8933 REPAIRS AND MAINTENANCE</t>
  </si>
  <si>
    <t xml:space="preserve">         8933.1 Pest Control - JC Ehrlich (H&amp;E)</t>
  </si>
  <si>
    <t xml:space="preserve">         8933.3 HVAC (H&amp;E)</t>
  </si>
  <si>
    <t xml:space="preserve">         8953 Repairs &amp; Maintenance - Bldg.</t>
  </si>
  <si>
    <t xml:space="preserve">         8954 Repairs &amp; Maintenance - Grounds</t>
  </si>
  <si>
    <t xml:space="preserve">            8933.4 Security Monitoring</t>
  </si>
  <si>
    <t xml:space="preserve">            8954.1 lawncare (Grandtopia (H&amp;E)</t>
  </si>
  <si>
    <t xml:space="preserve">            8954.2 irrigation( Poole/Fuller)(H&amp;E)</t>
  </si>
  <si>
    <t xml:space="preserve">            8954.3 Q F (lawn/shrub/pest)(H&amp;E)</t>
  </si>
  <si>
    <t xml:space="preserve">         Total 8954 Repairs &amp; Maintenance - Grounds</t>
  </si>
  <si>
    <t xml:space="preserve">         8959 Supplies - Janatorial</t>
  </si>
  <si>
    <t xml:space="preserve">      Total 8933 REPAIRS AND MAINTENANCE</t>
  </si>
  <si>
    <t xml:space="preserve">      8947 Presidents Official Exp</t>
  </si>
  <si>
    <t xml:space="preserve">      8964 Licenses and taxes</t>
  </si>
  <si>
    <t xml:space="preserve">      8965 Telephone/ISP</t>
  </si>
  <si>
    <t xml:space="preserve">      8966 Utilities (H&amp;E)</t>
  </si>
  <si>
    <t xml:space="preserve">      8969 Vice-Presidents Exp</t>
  </si>
  <si>
    <t xml:space="preserve">         8969.1 First VP</t>
  </si>
  <si>
    <t xml:space="preserve">         8969.2 Second VP</t>
  </si>
  <si>
    <t xml:space="preserve">      Total 8969 Vice-Presidents Exp</t>
  </si>
  <si>
    <t xml:space="preserve">      8971 WAYS AND MEANS</t>
  </si>
  <si>
    <t xml:space="preserve">         8951.1 Credit Card Fees</t>
  </si>
  <si>
    <t xml:space="preserve">      Total 8971 WAYS AND MEANS</t>
  </si>
  <si>
    <t xml:space="preserve">      8977 FFGC Promotion</t>
  </si>
  <si>
    <t xml:space="preserve">      9100 SALARIES</t>
  </si>
  <si>
    <t xml:space="preserve">         8909 Payroll</t>
  </si>
  <si>
    <t xml:space="preserve">         8963 Payroll Taxes</t>
  </si>
  <si>
    <t xml:space="preserve">      Total 9100 SALARIES</t>
  </si>
  <si>
    <t xml:space="preserve">   Total 8900 OPERATING EXPENSES</t>
  </si>
  <si>
    <t xml:space="preserve">   8957 CONTRIBUTION EXPENSES</t>
  </si>
  <si>
    <t xml:space="preserve">      8914 FFGC Scholarships</t>
  </si>
  <si>
    <t xml:space="preserve">      8957.3 Penny Pines</t>
  </si>
  <si>
    <t xml:space="preserve">   Total 8957 CONTRIBUTION EXPENSES</t>
  </si>
  <si>
    <t xml:space="preserve">   8958 H &amp; E Miscellaneous</t>
  </si>
  <si>
    <t xml:space="preserve">   9000 SPECIAL PROJECTS EXPENSES</t>
  </si>
  <si>
    <t xml:space="preserve">      9006 Avon Garden Therapy</t>
  </si>
  <si>
    <t xml:space="preserve">      9019 SEEK Youth</t>
  </si>
  <si>
    <t xml:space="preserve">   Total 9000 SPECIAL PROJECTS EXPENSES</t>
  </si>
  <si>
    <t>Total Expenditures</t>
  </si>
  <si>
    <t>Net Operating Revenue</t>
  </si>
  <si>
    <t>Other Expenditures</t>
  </si>
  <si>
    <t xml:space="preserve">   Reconciliation Discrepancies-1</t>
  </si>
  <si>
    <t>Total Other Expenditures</t>
  </si>
  <si>
    <t>Net Other Revenue</t>
  </si>
  <si>
    <t>Net Revenue</t>
  </si>
  <si>
    <t>Monday, Dec 26, 2022 11:53:59 AM GMT-8 - Accrual Basis</t>
  </si>
  <si>
    <t>Florida Federation of Garden Clubs Inc.</t>
  </si>
  <si>
    <t>Statement of Activity</t>
  </si>
  <si>
    <t>June - November, 2022</t>
  </si>
  <si>
    <t>Budget</t>
  </si>
  <si>
    <t xml:space="preserve">      6009 Hall of Fame Income(HQ)</t>
  </si>
  <si>
    <t xml:space="preserve">      6307.2 Color Our Garden (H&amp;E)</t>
  </si>
  <si>
    <t xml:space="preserve">                 6307.21 Earth Stewardships (H&amp;E)</t>
  </si>
  <si>
    <t xml:space="preserve">      8920 Engraving/Bricks/Plaques</t>
  </si>
  <si>
    <t xml:space="preserve">      8932 Major Repairs &amp; Renovations</t>
  </si>
  <si>
    <t xml:space="preserve">      8957.2 Color Our Garden</t>
  </si>
  <si>
    <t xml:space="preserve">      6102 F/S Schools &amp;Symposiums</t>
  </si>
  <si>
    <t xml:space="preserve">      6103 Floral Design/Educ activities</t>
  </si>
  <si>
    <t xml:space="preserve">      6106 Tropical Short Course</t>
  </si>
  <si>
    <t xml:space="preserve">      6107 Travel Tours</t>
  </si>
  <si>
    <t xml:space="preserve">   200 100th Anniversary Celebration</t>
  </si>
  <si>
    <t xml:space="preserve">      8002 NGC Dues Youth Gardeners</t>
  </si>
  <si>
    <t xml:space="preserve">     8901.1 Hospitality Other</t>
  </si>
  <si>
    <t xml:space="preserve">      8911 Gifts/Memorials/Courtesies</t>
  </si>
  <si>
    <t xml:space="preserve">      8915 Floral Design Study</t>
  </si>
  <si>
    <t xml:space="preserve">         8969.3 Third VP</t>
  </si>
  <si>
    <t xml:space="preserve">       8973 Website/membership software</t>
  </si>
  <si>
    <t xml:space="preserve">       8974 Donor NGC &amp; DS Awards</t>
  </si>
  <si>
    <t xml:space="preserve">     8601.1 Chairman's Expense</t>
  </si>
  <si>
    <t xml:space="preserve">      8607 Wekiva Critter Camp</t>
  </si>
  <si>
    <t xml:space="preserve">      8611 Wekiva Depreciation</t>
  </si>
  <si>
    <t>Actual Over  (Under) Budget</t>
  </si>
  <si>
    <t>Actual</t>
  </si>
  <si>
    <t xml:space="preserve">      8932.1 Insurance Claim Expenditures</t>
  </si>
  <si>
    <t xml:space="preserve">        8957.2 Color Our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</si>
</sst>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6" fontId="6" fillId="0" borderId="0" xfId="0" applyNumberFormat="1" applyFont="1"/>
    <xf numFmtId="0" fontId="8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 wrapText="1"/>
    </xf>
    <xf numFmtId="39" fontId="0" fillId="0" borderId="0" xfId="0" applyNumberFormat="1"/>
    <xf numFmtId="39" fontId="6" fillId="0" borderId="0" xfId="0" applyNumberFormat="1" applyFont="1"/>
    <xf numFmtId="166" fontId="6" fillId="0" borderId="4" xfId="0" applyNumberFormat="1" applyFont="1" applyBorder="1"/>
    <xf numFmtId="39" fontId="6" fillId="0" borderId="4" xfId="0" applyNumberFormat="1" applyFont="1" applyBorder="1"/>
    <xf numFmtId="39" fontId="6" fillId="0" borderId="3" xfId="0" applyNumberFormat="1" applyFont="1" applyBorder="1"/>
    <xf numFmtId="166" fontId="6" fillId="0" borderId="3" xfId="0" applyNumberFormat="1" applyFont="1" applyBorder="1"/>
    <xf numFmtId="39" fontId="8" fillId="0" borderId="3" xfId="0" applyNumberFormat="1" applyFont="1" applyBorder="1"/>
    <xf numFmtId="166" fontId="8" fillId="0" borderId="3" xfId="0" applyNumberFormat="1" applyFont="1" applyBorder="1"/>
    <xf numFmtId="166" fontId="8" fillId="0" borderId="0" xfId="0" applyNumberFormat="1" applyFont="1"/>
    <xf numFmtId="39" fontId="8" fillId="0" borderId="0" xfId="0" applyNumberFormat="1" applyFont="1"/>
    <xf numFmtId="166" fontId="8" fillId="0" borderId="4" xfId="0" applyNumberFormat="1" applyFont="1" applyBorder="1"/>
    <xf numFmtId="39" fontId="8" fillId="0" borderId="4" xfId="0" applyNumberFormat="1" applyFont="1" applyBorder="1"/>
    <xf numFmtId="166" fontId="8" fillId="0" borderId="1" xfId="0" applyNumberFormat="1" applyFont="1" applyBorder="1"/>
    <xf numFmtId="39" fontId="8" fillId="0" borderId="1" xfId="0" applyNumberFormat="1" applyFont="1" applyBorder="1"/>
    <xf numFmtId="0" fontId="7" fillId="0" borderId="1" xfId="0" applyFont="1" applyBorder="1"/>
    <xf numFmtId="39" fontId="7" fillId="0" borderId="1" xfId="0" applyNumberFormat="1" applyFont="1" applyBorder="1" applyAlignment="1">
      <alignment wrapText="1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3"/>
  <sheetViews>
    <sheetView tabSelected="1" workbookViewId="0">
      <selection activeCell="F201" sqref="F201"/>
    </sheetView>
  </sheetViews>
  <sheetFormatPr defaultRowHeight="14.4" x14ac:dyDescent="0.3"/>
  <cols>
    <col min="1" max="1" width="44.6640625" customWidth="1"/>
    <col min="2" max="3" width="10.44140625" bestFit="1" customWidth="1"/>
    <col min="4" max="4" width="11.109375" style="11" customWidth="1"/>
    <col min="6" max="6" width="12.5546875" bestFit="1" customWidth="1"/>
  </cols>
  <sheetData>
    <row r="1" spans="1:4" ht="17.399999999999999" x14ac:dyDescent="0.3">
      <c r="A1" s="30" t="s">
        <v>182</v>
      </c>
      <c r="B1" s="29"/>
    </row>
    <row r="2" spans="1:4" ht="17.399999999999999" x14ac:dyDescent="0.3">
      <c r="A2" s="30" t="s">
        <v>183</v>
      </c>
      <c r="B2" s="29"/>
    </row>
    <row r="3" spans="1:4" x14ac:dyDescent="0.3">
      <c r="A3" s="31" t="s">
        <v>184</v>
      </c>
      <c r="B3" s="29"/>
    </row>
    <row r="5" spans="1:4" ht="36.6" x14ac:dyDescent="0.3">
      <c r="A5" s="1"/>
      <c r="B5" s="2" t="s">
        <v>208</v>
      </c>
      <c r="C5" s="25" t="s">
        <v>185</v>
      </c>
      <c r="D5" s="26" t="s">
        <v>207</v>
      </c>
    </row>
    <row r="6" spans="1:4" x14ac:dyDescent="0.3">
      <c r="A6" s="3" t="s">
        <v>0</v>
      </c>
      <c r="B6" s="4"/>
      <c r="C6" s="8"/>
      <c r="D6" s="12"/>
    </row>
    <row r="7" spans="1:4" x14ac:dyDescent="0.3">
      <c r="A7" s="3" t="s">
        <v>1</v>
      </c>
      <c r="B7" s="5">
        <f>5695</f>
        <v>5695</v>
      </c>
      <c r="C7" s="8">
        <v>33248</v>
      </c>
      <c r="D7" s="12">
        <f>B7-C7</f>
        <v>-27553</v>
      </c>
    </row>
    <row r="8" spans="1:4" x14ac:dyDescent="0.3">
      <c r="A8" s="3" t="s">
        <v>2</v>
      </c>
      <c r="B8" s="4"/>
      <c r="C8" s="8"/>
      <c r="D8" s="12"/>
    </row>
    <row r="9" spans="1:4" x14ac:dyDescent="0.3">
      <c r="A9" s="3" t="s">
        <v>3</v>
      </c>
      <c r="B9" s="5">
        <v>63775</v>
      </c>
      <c r="C9" s="8">
        <v>66000</v>
      </c>
      <c r="D9" s="12">
        <f t="shared" ref="D9:D70" si="0">B9-C9</f>
        <v>-2225</v>
      </c>
    </row>
    <row r="10" spans="1:4" x14ac:dyDescent="0.3">
      <c r="A10" s="3" t="s">
        <v>4</v>
      </c>
      <c r="B10" s="5">
        <f>150</f>
        <v>150</v>
      </c>
      <c r="C10" s="8">
        <v>100</v>
      </c>
      <c r="D10" s="12">
        <f t="shared" si="0"/>
        <v>50</v>
      </c>
    </row>
    <row r="11" spans="1:4" x14ac:dyDescent="0.3">
      <c r="A11" s="3" t="s">
        <v>5</v>
      </c>
      <c r="B11" s="5">
        <f>1200</f>
        <v>1200</v>
      </c>
      <c r="C11" s="8">
        <v>2000</v>
      </c>
      <c r="D11" s="12">
        <f t="shared" si="0"/>
        <v>-800</v>
      </c>
    </row>
    <row r="12" spans="1:4" x14ac:dyDescent="0.3">
      <c r="A12" s="3" t="s">
        <v>6</v>
      </c>
      <c r="B12" s="5">
        <f>583</f>
        <v>583</v>
      </c>
      <c r="C12" s="8"/>
      <c r="D12" s="12">
        <f t="shared" si="0"/>
        <v>583</v>
      </c>
    </row>
    <row r="13" spans="1:4" x14ac:dyDescent="0.3">
      <c r="A13" s="3" t="s">
        <v>7</v>
      </c>
      <c r="B13" s="4"/>
      <c r="C13" s="8"/>
      <c r="D13" s="12">
        <f t="shared" si="0"/>
        <v>0</v>
      </c>
    </row>
    <row r="14" spans="1:4" x14ac:dyDescent="0.3">
      <c r="A14" s="3" t="s">
        <v>8</v>
      </c>
      <c r="B14" s="5">
        <f>24962.28</f>
        <v>24962.28</v>
      </c>
      <c r="C14" s="8">
        <v>29200</v>
      </c>
      <c r="D14" s="12">
        <f t="shared" si="0"/>
        <v>-4237.7200000000012</v>
      </c>
    </row>
    <row r="15" spans="1:4" x14ac:dyDescent="0.3">
      <c r="A15" s="3" t="s">
        <v>9</v>
      </c>
      <c r="B15" s="6">
        <f>(B13)+(B14)</f>
        <v>24962.28</v>
      </c>
      <c r="C15" s="13">
        <v>29200</v>
      </c>
      <c r="D15" s="14">
        <f t="shared" si="0"/>
        <v>-4237.7200000000012</v>
      </c>
    </row>
    <row r="16" spans="1:4" x14ac:dyDescent="0.3">
      <c r="A16" s="3" t="s">
        <v>10</v>
      </c>
      <c r="B16" s="6">
        <f>((((+(B9))+(B10))+(B11))+(B12))+(B15)</f>
        <v>90670.28</v>
      </c>
      <c r="C16" s="10">
        <f>(((((C8)+(C9))+(C10))+(C11))+(C12))+(C15)</f>
        <v>97300</v>
      </c>
      <c r="D16" s="20">
        <f t="shared" si="0"/>
        <v>-6629.7200000000012</v>
      </c>
    </row>
    <row r="17" spans="1:4" x14ac:dyDescent="0.3">
      <c r="A17" s="3" t="s">
        <v>11</v>
      </c>
      <c r="B17" s="4"/>
      <c r="C17" s="8"/>
      <c r="D17" s="12"/>
    </row>
    <row r="18" spans="1:4" x14ac:dyDescent="0.3">
      <c r="A18" s="3" t="s">
        <v>12</v>
      </c>
      <c r="B18" s="5">
        <f>518.38</f>
        <v>518.38</v>
      </c>
      <c r="C18" s="8">
        <v>500</v>
      </c>
      <c r="D18" s="12">
        <f t="shared" si="0"/>
        <v>18.379999999999995</v>
      </c>
    </row>
    <row r="19" spans="1:4" x14ac:dyDescent="0.3">
      <c r="A19" s="9" t="s">
        <v>192</v>
      </c>
      <c r="B19" s="5"/>
      <c r="C19" s="8">
        <v>500</v>
      </c>
      <c r="D19" s="12">
        <f t="shared" si="0"/>
        <v>-500</v>
      </c>
    </row>
    <row r="20" spans="1:4" x14ac:dyDescent="0.3">
      <c r="A20" s="9" t="s">
        <v>193</v>
      </c>
      <c r="B20" s="5"/>
      <c r="C20" s="8">
        <v>250</v>
      </c>
      <c r="D20" s="12">
        <f t="shared" si="0"/>
        <v>-250</v>
      </c>
    </row>
    <row r="21" spans="1:4" x14ac:dyDescent="0.3">
      <c r="A21" s="9" t="s">
        <v>195</v>
      </c>
      <c r="B21" s="5"/>
      <c r="C21" s="8">
        <v>2000</v>
      </c>
      <c r="D21" s="12">
        <f t="shared" si="0"/>
        <v>-2000</v>
      </c>
    </row>
    <row r="22" spans="1:4" x14ac:dyDescent="0.3">
      <c r="A22" s="9" t="s">
        <v>194</v>
      </c>
      <c r="B22" s="5"/>
      <c r="C22" s="8">
        <v>500</v>
      </c>
      <c r="D22" s="12">
        <f t="shared" si="0"/>
        <v>-500</v>
      </c>
    </row>
    <row r="23" spans="1:4" x14ac:dyDescent="0.3">
      <c r="A23" s="3" t="s">
        <v>13</v>
      </c>
      <c r="B23" s="5">
        <f>582.25</f>
        <v>582.25</v>
      </c>
      <c r="C23" s="8">
        <v>500</v>
      </c>
      <c r="D23" s="12">
        <f t="shared" si="0"/>
        <v>82.25</v>
      </c>
    </row>
    <row r="24" spans="1:4" x14ac:dyDescent="0.3">
      <c r="A24" s="3" t="s">
        <v>14</v>
      </c>
      <c r="B24" s="5">
        <f>20705.89</f>
        <v>20705.89</v>
      </c>
      <c r="C24" s="8"/>
      <c r="D24" s="12">
        <f t="shared" si="0"/>
        <v>20705.89</v>
      </c>
    </row>
    <row r="25" spans="1:4" x14ac:dyDescent="0.3">
      <c r="A25" s="3" t="s">
        <v>15</v>
      </c>
      <c r="B25" s="5">
        <f>135</f>
        <v>135</v>
      </c>
      <c r="C25" s="8">
        <v>150</v>
      </c>
      <c r="D25" s="12">
        <f t="shared" si="0"/>
        <v>-15</v>
      </c>
    </row>
    <row r="26" spans="1:4" x14ac:dyDescent="0.3">
      <c r="A26" s="3" t="s">
        <v>16</v>
      </c>
      <c r="B26" s="5">
        <f>1560</f>
        <v>1560</v>
      </c>
      <c r="C26" s="8">
        <v>1750</v>
      </c>
      <c r="D26" s="12">
        <f t="shared" si="0"/>
        <v>-190</v>
      </c>
    </row>
    <row r="27" spans="1:4" x14ac:dyDescent="0.3">
      <c r="A27" s="3" t="s">
        <v>17</v>
      </c>
      <c r="B27" s="6">
        <f>(((((B17)+(B18))+(B23))+(B24))+(B25))+(B26)</f>
        <v>23501.52</v>
      </c>
      <c r="C27" s="6">
        <f>SUM(C18:C26)</f>
        <v>6150</v>
      </c>
      <c r="D27" s="17">
        <f t="shared" si="0"/>
        <v>17351.52</v>
      </c>
    </row>
    <row r="28" spans="1:4" x14ac:dyDescent="0.3">
      <c r="A28" s="3" t="s">
        <v>18</v>
      </c>
      <c r="B28" s="4"/>
      <c r="C28" s="8"/>
      <c r="D28" s="12"/>
    </row>
    <row r="29" spans="1:4" x14ac:dyDescent="0.3">
      <c r="A29" s="3" t="s">
        <v>19</v>
      </c>
      <c r="B29" s="4"/>
      <c r="C29" s="8"/>
      <c r="D29" s="12">
        <f t="shared" si="0"/>
        <v>0</v>
      </c>
    </row>
    <row r="30" spans="1:4" x14ac:dyDescent="0.3">
      <c r="A30" s="3" t="s">
        <v>20</v>
      </c>
      <c r="B30" s="5">
        <f>210</f>
        <v>210</v>
      </c>
      <c r="C30" s="8"/>
      <c r="D30" s="12">
        <f t="shared" si="0"/>
        <v>210</v>
      </c>
    </row>
    <row r="31" spans="1:4" x14ac:dyDescent="0.3">
      <c r="A31" s="3" t="s">
        <v>21</v>
      </c>
      <c r="B31" s="7">
        <f>(B29)+(B30)</f>
        <v>210</v>
      </c>
      <c r="C31" s="16"/>
      <c r="D31" s="15">
        <f t="shared" si="0"/>
        <v>210</v>
      </c>
    </row>
    <row r="32" spans="1:4" x14ac:dyDescent="0.3">
      <c r="A32" s="3" t="s">
        <v>22</v>
      </c>
      <c r="B32" s="5">
        <f>213.87</f>
        <v>213.87</v>
      </c>
      <c r="C32" s="8"/>
      <c r="D32" s="12">
        <f t="shared" si="0"/>
        <v>213.87</v>
      </c>
    </row>
    <row r="33" spans="1:4" x14ac:dyDescent="0.3">
      <c r="A33" s="3" t="s">
        <v>23</v>
      </c>
      <c r="B33" s="5">
        <f>1100.06</f>
        <v>1100.06</v>
      </c>
      <c r="C33" s="8"/>
      <c r="D33" s="12">
        <f t="shared" si="0"/>
        <v>1100.06</v>
      </c>
    </row>
    <row r="34" spans="1:4" x14ac:dyDescent="0.3">
      <c r="A34" s="3" t="s">
        <v>24</v>
      </c>
      <c r="B34" s="6">
        <f>(B32)+(B33)</f>
        <v>1313.9299999999998</v>
      </c>
      <c r="C34" s="13">
        <v>250</v>
      </c>
      <c r="D34" s="14">
        <f t="shared" si="0"/>
        <v>1063.9299999999998</v>
      </c>
    </row>
    <row r="35" spans="1:4" x14ac:dyDescent="0.3">
      <c r="A35" s="3" t="s">
        <v>25</v>
      </c>
      <c r="B35" s="6">
        <f>((B28)+(B31))+(B34)</f>
        <v>1523.9299999999998</v>
      </c>
      <c r="C35" s="19">
        <f>SUM(C30:C34)</f>
        <v>250</v>
      </c>
      <c r="D35" s="20">
        <f t="shared" si="0"/>
        <v>1273.9299999999998</v>
      </c>
    </row>
    <row r="36" spans="1:4" x14ac:dyDescent="0.3">
      <c r="A36" s="3" t="s">
        <v>26</v>
      </c>
      <c r="B36" s="4"/>
      <c r="C36" s="8"/>
      <c r="D36" s="12"/>
    </row>
    <row r="37" spans="1:4" x14ac:dyDescent="0.3">
      <c r="A37" s="3" t="s">
        <v>27</v>
      </c>
      <c r="B37" s="5">
        <f>54.47</f>
        <v>54.47</v>
      </c>
      <c r="C37" s="8">
        <v>30</v>
      </c>
      <c r="D37" s="12">
        <f t="shared" si="0"/>
        <v>24.47</v>
      </c>
    </row>
    <row r="38" spans="1:4" x14ac:dyDescent="0.3">
      <c r="A38" s="3" t="s">
        <v>28</v>
      </c>
      <c r="B38" s="5">
        <f>15.25</f>
        <v>15.25</v>
      </c>
      <c r="C38" s="8"/>
      <c r="D38" s="12">
        <f t="shared" si="0"/>
        <v>15.25</v>
      </c>
    </row>
    <row r="39" spans="1:4" x14ac:dyDescent="0.3">
      <c r="A39" s="3" t="s">
        <v>29</v>
      </c>
      <c r="B39" s="5">
        <f>21.11</f>
        <v>21.11</v>
      </c>
      <c r="C39" s="8"/>
      <c r="D39" s="12">
        <f t="shared" si="0"/>
        <v>21.11</v>
      </c>
    </row>
    <row r="40" spans="1:4" x14ac:dyDescent="0.3">
      <c r="A40" s="3" t="s">
        <v>30</v>
      </c>
      <c r="B40" s="5">
        <f>17.56</f>
        <v>17.559999999999999</v>
      </c>
      <c r="C40" s="8">
        <v>7</v>
      </c>
      <c r="D40" s="12">
        <f t="shared" si="0"/>
        <v>10.559999999999999</v>
      </c>
    </row>
    <row r="41" spans="1:4" x14ac:dyDescent="0.3">
      <c r="A41" s="3" t="s">
        <v>31</v>
      </c>
      <c r="B41" s="5">
        <f>2394.66</f>
        <v>2394.66</v>
      </c>
      <c r="C41" s="8"/>
      <c r="D41" s="12">
        <f t="shared" si="0"/>
        <v>2394.66</v>
      </c>
    </row>
    <row r="42" spans="1:4" x14ac:dyDescent="0.3">
      <c r="A42" s="3" t="s">
        <v>32</v>
      </c>
      <c r="B42" s="6">
        <f>(((((B36)+(B37))+(B38))+(B39))+(B40))+(B41)</f>
        <v>2503.0499999999997</v>
      </c>
      <c r="C42" s="18">
        <f>SUM(C37:C41)</f>
        <v>37</v>
      </c>
      <c r="D42" s="17">
        <f t="shared" si="0"/>
        <v>2466.0499999999997</v>
      </c>
    </row>
    <row r="43" spans="1:4" x14ac:dyDescent="0.3">
      <c r="A43" s="3" t="s">
        <v>33</v>
      </c>
      <c r="B43" s="5"/>
      <c r="C43" s="8"/>
      <c r="D43" s="12"/>
    </row>
    <row r="44" spans="1:4" x14ac:dyDescent="0.3">
      <c r="A44" s="3" t="s">
        <v>34</v>
      </c>
      <c r="B44" s="5">
        <f>132.28</f>
        <v>132.28</v>
      </c>
      <c r="C44" s="8"/>
      <c r="D44" s="12">
        <f t="shared" si="0"/>
        <v>132.28</v>
      </c>
    </row>
    <row r="45" spans="1:4" x14ac:dyDescent="0.3">
      <c r="A45" s="3" t="s">
        <v>35</v>
      </c>
      <c r="B45" s="5">
        <f>938.19</f>
        <v>938.19</v>
      </c>
      <c r="C45" s="8">
        <v>750</v>
      </c>
      <c r="D45" s="12">
        <f t="shared" si="0"/>
        <v>188.19000000000005</v>
      </c>
    </row>
    <row r="46" spans="1:4" x14ac:dyDescent="0.3">
      <c r="A46" s="3" t="s">
        <v>36</v>
      </c>
      <c r="B46" s="5">
        <f>0</f>
        <v>0</v>
      </c>
      <c r="C46" s="8">
        <v>1000</v>
      </c>
      <c r="D46" s="12">
        <f t="shared" si="0"/>
        <v>-1000</v>
      </c>
    </row>
    <row r="47" spans="1:4" x14ac:dyDescent="0.3">
      <c r="A47" s="3" t="s">
        <v>37</v>
      </c>
      <c r="B47" s="5">
        <f>48.12</f>
        <v>48.12</v>
      </c>
      <c r="C47" s="8"/>
      <c r="D47" s="12">
        <f t="shared" si="0"/>
        <v>48.12</v>
      </c>
    </row>
    <row r="48" spans="1:4" x14ac:dyDescent="0.3">
      <c r="A48" s="3" t="s">
        <v>38</v>
      </c>
      <c r="B48" s="5">
        <f>50610.11</f>
        <v>50610.11</v>
      </c>
      <c r="C48" s="8"/>
      <c r="D48" s="12">
        <f t="shared" si="0"/>
        <v>50610.11</v>
      </c>
    </row>
    <row r="49" spans="1:4" x14ac:dyDescent="0.3">
      <c r="A49" s="3" t="s">
        <v>39</v>
      </c>
      <c r="B49" s="6">
        <f>(((((B43)+(B44))+(B45))+(B46))+(B47))+(B48)</f>
        <v>51728.7</v>
      </c>
      <c r="C49" s="18">
        <f>SUM(C44:C48)</f>
        <v>1750</v>
      </c>
      <c r="D49" s="17">
        <f t="shared" si="0"/>
        <v>49978.7</v>
      </c>
    </row>
    <row r="50" spans="1:4" x14ac:dyDescent="0.3">
      <c r="A50" s="3" t="s">
        <v>40</v>
      </c>
      <c r="B50" s="4"/>
      <c r="C50" s="8"/>
      <c r="D50" s="12"/>
    </row>
    <row r="51" spans="1:4" x14ac:dyDescent="0.3">
      <c r="A51" s="3" t="s">
        <v>41</v>
      </c>
      <c r="B51" s="5">
        <f>3200</f>
        <v>3200</v>
      </c>
      <c r="C51" s="8">
        <v>3200</v>
      </c>
      <c r="D51" s="12">
        <f t="shared" si="0"/>
        <v>0</v>
      </c>
    </row>
    <row r="52" spans="1:4" x14ac:dyDescent="0.3">
      <c r="A52" s="3" t="s">
        <v>42</v>
      </c>
      <c r="B52" s="5">
        <f>6245</f>
        <v>6245</v>
      </c>
      <c r="C52" s="8">
        <v>5000</v>
      </c>
      <c r="D52" s="12">
        <f t="shared" si="0"/>
        <v>1245</v>
      </c>
    </row>
    <row r="53" spans="1:4" x14ac:dyDescent="0.3">
      <c r="A53" s="3" t="s">
        <v>43</v>
      </c>
      <c r="B53" s="5">
        <f>15990.92</f>
        <v>15990.92</v>
      </c>
      <c r="C53" s="8">
        <v>15000</v>
      </c>
      <c r="D53" s="12">
        <f t="shared" si="0"/>
        <v>990.92000000000007</v>
      </c>
    </row>
    <row r="54" spans="1:4" x14ac:dyDescent="0.3">
      <c r="A54" s="3" t="s">
        <v>44</v>
      </c>
      <c r="B54" s="5">
        <f>3710</f>
        <v>3710</v>
      </c>
      <c r="C54" s="8"/>
      <c r="D54" s="12">
        <f t="shared" si="0"/>
        <v>3710</v>
      </c>
    </row>
    <row r="55" spans="1:4" x14ac:dyDescent="0.3">
      <c r="A55" s="3" t="s">
        <v>45</v>
      </c>
      <c r="B55" s="6">
        <f>(B53)+(B54)</f>
        <v>19700.919999999998</v>
      </c>
      <c r="C55" s="18">
        <f>SUM(C53:C54)</f>
        <v>15000</v>
      </c>
      <c r="D55" s="17">
        <f t="shared" si="0"/>
        <v>4700.9199999999983</v>
      </c>
    </row>
    <row r="56" spans="1:4" x14ac:dyDescent="0.3">
      <c r="A56" s="3" t="s">
        <v>46</v>
      </c>
      <c r="B56" s="5">
        <f>3475</f>
        <v>3475</v>
      </c>
      <c r="C56" s="8"/>
      <c r="D56" s="12">
        <f t="shared" si="0"/>
        <v>3475</v>
      </c>
    </row>
    <row r="57" spans="1:4" x14ac:dyDescent="0.3">
      <c r="A57" s="3" t="s">
        <v>47</v>
      </c>
      <c r="B57" s="5">
        <f>62.14</f>
        <v>62.14</v>
      </c>
      <c r="C57" s="8">
        <v>25</v>
      </c>
      <c r="D57" s="12">
        <f t="shared" si="0"/>
        <v>37.14</v>
      </c>
    </row>
    <row r="58" spans="1:4" x14ac:dyDescent="0.3">
      <c r="A58" s="3" t="s">
        <v>48</v>
      </c>
      <c r="B58" s="5">
        <f>3</f>
        <v>3</v>
      </c>
      <c r="C58" s="8">
        <v>50</v>
      </c>
      <c r="D58" s="12">
        <f t="shared" si="0"/>
        <v>-47</v>
      </c>
    </row>
    <row r="59" spans="1:4" x14ac:dyDescent="0.3">
      <c r="A59" s="3" t="s">
        <v>49</v>
      </c>
      <c r="B59" s="4"/>
      <c r="C59" s="8"/>
      <c r="D59" s="12"/>
    </row>
    <row r="60" spans="1:4" x14ac:dyDescent="0.3">
      <c r="A60" s="3" t="s">
        <v>50</v>
      </c>
      <c r="B60" s="5">
        <f>29925</f>
        <v>29925</v>
      </c>
      <c r="C60" s="8"/>
      <c r="D60" s="12">
        <f t="shared" si="0"/>
        <v>29925</v>
      </c>
    </row>
    <row r="61" spans="1:4" x14ac:dyDescent="0.3">
      <c r="A61" s="3" t="s">
        <v>51</v>
      </c>
      <c r="B61" s="5">
        <f>118590</f>
        <v>118590</v>
      </c>
      <c r="C61" s="8"/>
      <c r="D61" s="12">
        <f t="shared" si="0"/>
        <v>118590</v>
      </c>
    </row>
    <row r="62" spans="1:4" x14ac:dyDescent="0.3">
      <c r="A62" s="3" t="s">
        <v>52</v>
      </c>
      <c r="B62" s="6">
        <f>((B59)+(B60))+(B61)</f>
        <v>148515</v>
      </c>
      <c r="C62" s="18">
        <v>156000</v>
      </c>
      <c r="D62" s="17">
        <f t="shared" si="0"/>
        <v>-7485</v>
      </c>
    </row>
    <row r="63" spans="1:4" x14ac:dyDescent="0.3">
      <c r="A63" s="3" t="s">
        <v>53</v>
      </c>
      <c r="B63" s="5">
        <f>11500</f>
        <v>11500</v>
      </c>
      <c r="C63" s="8">
        <v>10500</v>
      </c>
      <c r="D63" s="12">
        <f t="shared" si="0"/>
        <v>1000</v>
      </c>
    </row>
    <row r="64" spans="1:4" x14ac:dyDescent="0.3">
      <c r="A64" s="3" t="s">
        <v>54</v>
      </c>
      <c r="B64" s="5">
        <f>4570.81</f>
        <v>4570.8100000000004</v>
      </c>
      <c r="C64" s="8">
        <v>3400</v>
      </c>
      <c r="D64" s="12">
        <f t="shared" si="0"/>
        <v>1170.8100000000004</v>
      </c>
    </row>
    <row r="65" spans="1:4" x14ac:dyDescent="0.3">
      <c r="A65" s="3" t="s">
        <v>55</v>
      </c>
      <c r="B65" s="6">
        <f>(((((((((B50)+(B51))+(B52))+(B55))+(B56))+(B57))+(B58))+(B62))+(B63))+(B64)</f>
        <v>197271.87</v>
      </c>
      <c r="C65" s="7">
        <f t="shared" ref="C65" si="1">(((((((((C50)+(C51))+(C52))+(C55))+(C56))+(C57))+(C58))+(C62))+(C63))+(C64)</f>
        <v>193175</v>
      </c>
      <c r="D65" s="17">
        <f t="shared" si="0"/>
        <v>4096.8699999999953</v>
      </c>
    </row>
    <row r="66" spans="1:4" x14ac:dyDescent="0.3">
      <c r="A66" s="3" t="s">
        <v>56</v>
      </c>
      <c r="B66" s="4"/>
      <c r="C66" s="8"/>
      <c r="D66" s="12">
        <f t="shared" si="0"/>
        <v>0</v>
      </c>
    </row>
    <row r="67" spans="1:4" x14ac:dyDescent="0.3">
      <c r="A67" s="3" t="s">
        <v>57</v>
      </c>
      <c r="B67" s="5">
        <f>300</f>
        <v>300</v>
      </c>
      <c r="C67" s="8">
        <v>500</v>
      </c>
      <c r="D67" s="12">
        <f t="shared" si="0"/>
        <v>-200</v>
      </c>
    </row>
    <row r="68" spans="1:4" x14ac:dyDescent="0.3">
      <c r="A68" s="3" t="s">
        <v>58</v>
      </c>
      <c r="B68" s="5">
        <f>200</f>
        <v>200</v>
      </c>
      <c r="C68" s="8">
        <v>350</v>
      </c>
      <c r="D68" s="12">
        <f t="shared" si="0"/>
        <v>-150</v>
      </c>
    </row>
    <row r="69" spans="1:4" x14ac:dyDescent="0.3">
      <c r="A69" s="9" t="s">
        <v>186</v>
      </c>
      <c r="B69" s="5"/>
      <c r="C69" s="8">
        <v>200</v>
      </c>
      <c r="D69" s="12">
        <f t="shared" si="0"/>
        <v>-200</v>
      </c>
    </row>
    <row r="70" spans="1:4" x14ac:dyDescent="0.3">
      <c r="A70" s="3" t="s">
        <v>59</v>
      </c>
      <c r="B70" s="5">
        <f>242.76</f>
        <v>242.76</v>
      </c>
      <c r="C70" s="8"/>
      <c r="D70" s="12">
        <f t="shared" si="0"/>
        <v>242.76</v>
      </c>
    </row>
    <row r="71" spans="1:4" x14ac:dyDescent="0.3">
      <c r="A71" s="9" t="s">
        <v>187</v>
      </c>
      <c r="B71" s="5"/>
      <c r="C71" s="8"/>
      <c r="D71" s="12"/>
    </row>
    <row r="72" spans="1:4" x14ac:dyDescent="0.3">
      <c r="A72" s="9" t="s">
        <v>188</v>
      </c>
      <c r="B72" s="5"/>
      <c r="C72" s="8">
        <v>100</v>
      </c>
      <c r="D72" s="12">
        <f t="shared" ref="D72:D135" si="2">B72-C72</f>
        <v>-100</v>
      </c>
    </row>
    <row r="73" spans="1:4" x14ac:dyDescent="0.3">
      <c r="A73" s="3" t="s">
        <v>60</v>
      </c>
      <c r="B73" s="5">
        <f>3128</f>
        <v>3128</v>
      </c>
      <c r="C73" s="8"/>
      <c r="D73" s="12">
        <f t="shared" si="2"/>
        <v>3128</v>
      </c>
    </row>
    <row r="74" spans="1:4" x14ac:dyDescent="0.3">
      <c r="A74" s="3" t="s">
        <v>61</v>
      </c>
      <c r="B74" s="5">
        <f>3500</f>
        <v>3500</v>
      </c>
      <c r="C74" s="8"/>
      <c r="D74" s="12">
        <f t="shared" si="2"/>
        <v>3500</v>
      </c>
    </row>
    <row r="75" spans="1:4" x14ac:dyDescent="0.3">
      <c r="A75" s="3" t="s">
        <v>62</v>
      </c>
      <c r="B75" s="6">
        <f>(((((B66)+(B67))+(B68))+(B70))+(B73))+(B74)</f>
        <v>7370.76</v>
      </c>
      <c r="C75" s="18">
        <f>SUM(C67:C74)</f>
        <v>1150</v>
      </c>
      <c r="D75" s="17">
        <f t="shared" si="2"/>
        <v>6220.76</v>
      </c>
    </row>
    <row r="76" spans="1:4" x14ac:dyDescent="0.3">
      <c r="A76" s="3" t="s">
        <v>63</v>
      </c>
      <c r="B76" s="4"/>
      <c r="C76" s="8"/>
      <c r="D76" s="12"/>
    </row>
    <row r="77" spans="1:4" x14ac:dyDescent="0.3">
      <c r="A77" s="3" t="s">
        <v>64</v>
      </c>
      <c r="B77" s="5">
        <f>50</f>
        <v>50</v>
      </c>
      <c r="C77" s="8"/>
      <c r="D77" s="12">
        <f t="shared" si="2"/>
        <v>50</v>
      </c>
    </row>
    <row r="78" spans="1:4" x14ac:dyDescent="0.3">
      <c r="A78" s="3" t="s">
        <v>65</v>
      </c>
      <c r="B78" s="5">
        <f>4400</f>
        <v>4400</v>
      </c>
      <c r="C78" s="8">
        <v>12000</v>
      </c>
      <c r="D78" s="12">
        <f t="shared" si="2"/>
        <v>-7600</v>
      </c>
    </row>
    <row r="79" spans="1:4" x14ac:dyDescent="0.3">
      <c r="A79" s="3" t="s">
        <v>66</v>
      </c>
      <c r="B79" s="6">
        <f>((B76)+(B77))+(B78)</f>
        <v>4450</v>
      </c>
      <c r="C79" s="21">
        <f>SUM(C78)</f>
        <v>12000</v>
      </c>
      <c r="D79" s="22">
        <f t="shared" si="2"/>
        <v>-7550</v>
      </c>
    </row>
    <row r="80" spans="1:4" x14ac:dyDescent="0.3">
      <c r="A80" s="3" t="s">
        <v>67</v>
      </c>
      <c r="B80" s="6">
        <f>((((((((B7)+(B16))+(B27))+(B35))+(B42))+(B49))+(B65))+(B75))+(B79)</f>
        <v>384715.11</v>
      </c>
      <c r="C80" s="23">
        <v>345060</v>
      </c>
      <c r="D80" s="24">
        <f t="shared" si="2"/>
        <v>39655.109999999986</v>
      </c>
    </row>
    <row r="81" spans="1:4" x14ac:dyDescent="0.3">
      <c r="A81" s="3" t="s">
        <v>68</v>
      </c>
      <c r="B81" s="6">
        <f>(B80)-(0)</f>
        <v>384715.11</v>
      </c>
      <c r="C81" s="19">
        <v>345060</v>
      </c>
      <c r="D81" s="20">
        <f t="shared" si="2"/>
        <v>39655.109999999986</v>
      </c>
    </row>
    <row r="82" spans="1:4" x14ac:dyDescent="0.3">
      <c r="A82" s="3" t="s">
        <v>69</v>
      </c>
      <c r="B82" s="4"/>
      <c r="C82" s="8"/>
      <c r="D82" s="12"/>
    </row>
    <row r="83" spans="1:4" x14ac:dyDescent="0.3">
      <c r="A83" s="9" t="s">
        <v>196</v>
      </c>
      <c r="B83" s="4"/>
      <c r="C83" s="8">
        <v>43712</v>
      </c>
      <c r="D83" s="12">
        <f t="shared" si="2"/>
        <v>-43712</v>
      </c>
    </row>
    <row r="84" spans="1:4" x14ac:dyDescent="0.3">
      <c r="A84" s="3" t="s">
        <v>70</v>
      </c>
      <c r="B84" s="4"/>
      <c r="C84" s="8"/>
      <c r="D84" s="12"/>
    </row>
    <row r="85" spans="1:4" x14ac:dyDescent="0.3">
      <c r="A85" s="3" t="s">
        <v>71</v>
      </c>
      <c r="B85" s="5">
        <f>10006</f>
        <v>10006</v>
      </c>
      <c r="C85" s="8">
        <v>10500</v>
      </c>
      <c r="D85" s="12">
        <f t="shared" si="2"/>
        <v>-494</v>
      </c>
    </row>
    <row r="86" spans="1:4" x14ac:dyDescent="0.3">
      <c r="A86" s="9" t="s">
        <v>197</v>
      </c>
      <c r="B86" s="5"/>
      <c r="C86" s="8">
        <v>10</v>
      </c>
      <c r="D86" s="12">
        <f t="shared" si="2"/>
        <v>-10</v>
      </c>
    </row>
    <row r="87" spans="1:4" x14ac:dyDescent="0.3">
      <c r="A87" s="3" t="s">
        <v>72</v>
      </c>
      <c r="B87" s="4"/>
      <c r="C87" s="8"/>
      <c r="D87" s="12"/>
    </row>
    <row r="88" spans="1:4" x14ac:dyDescent="0.3">
      <c r="A88" s="3" t="s">
        <v>73</v>
      </c>
      <c r="B88" s="5">
        <f>0</f>
        <v>0</v>
      </c>
      <c r="C88" s="8"/>
      <c r="D88" s="12">
        <f t="shared" si="2"/>
        <v>0</v>
      </c>
    </row>
    <row r="89" spans="1:4" x14ac:dyDescent="0.3">
      <c r="A89" s="3" t="s">
        <v>74</v>
      </c>
      <c r="B89" s="6">
        <f>(B87)+(B88)</f>
        <v>0</v>
      </c>
      <c r="C89" s="13"/>
      <c r="D89" s="14">
        <f t="shared" si="2"/>
        <v>0</v>
      </c>
    </row>
    <row r="90" spans="1:4" x14ac:dyDescent="0.3">
      <c r="A90" s="3" t="s">
        <v>75</v>
      </c>
      <c r="B90" s="6">
        <f>((B84)+(B85))+(B89)</f>
        <v>10006</v>
      </c>
      <c r="C90" s="19">
        <f>SUM(C85:C89)</f>
        <v>10510</v>
      </c>
      <c r="D90" s="20">
        <f t="shared" si="2"/>
        <v>-504</v>
      </c>
    </row>
    <row r="91" spans="1:4" x14ac:dyDescent="0.3">
      <c r="A91" s="3" t="s">
        <v>76</v>
      </c>
      <c r="B91" s="4"/>
      <c r="C91" s="8"/>
      <c r="D91" s="12"/>
    </row>
    <row r="92" spans="1:4" x14ac:dyDescent="0.3">
      <c r="A92" s="3" t="s">
        <v>77</v>
      </c>
      <c r="B92" s="5"/>
      <c r="C92" s="8"/>
      <c r="D92" s="12">
        <f t="shared" si="2"/>
        <v>0</v>
      </c>
    </row>
    <row r="93" spans="1:4" x14ac:dyDescent="0.3">
      <c r="A93" s="3" t="s">
        <v>78</v>
      </c>
      <c r="B93" s="5">
        <f>6382.29</f>
        <v>6382.29</v>
      </c>
      <c r="C93" s="8">
        <v>6400</v>
      </c>
      <c r="D93" s="12">
        <f t="shared" si="2"/>
        <v>-17.710000000000036</v>
      </c>
    </row>
    <row r="94" spans="1:4" x14ac:dyDescent="0.3">
      <c r="A94" s="3" t="s">
        <v>79</v>
      </c>
      <c r="B94" s="5">
        <f>1694.23</f>
        <v>1694.23</v>
      </c>
      <c r="C94" s="8">
        <v>1600</v>
      </c>
      <c r="D94" s="12">
        <f t="shared" si="2"/>
        <v>94.230000000000018</v>
      </c>
    </row>
    <row r="95" spans="1:4" x14ac:dyDescent="0.3">
      <c r="A95" s="3" t="s">
        <v>80</v>
      </c>
      <c r="B95" s="6">
        <f>(((B91)+(B92))+(B93))+(B94)</f>
        <v>8076.52</v>
      </c>
      <c r="C95" s="18">
        <f>SUM(C92:C94)</f>
        <v>8000</v>
      </c>
      <c r="D95" s="17">
        <f t="shared" si="2"/>
        <v>76.520000000000437</v>
      </c>
    </row>
    <row r="96" spans="1:4" x14ac:dyDescent="0.3">
      <c r="A96" s="3" t="s">
        <v>81</v>
      </c>
      <c r="B96" s="4"/>
      <c r="C96" s="8"/>
      <c r="D96" s="12"/>
    </row>
    <row r="97" spans="1:4" x14ac:dyDescent="0.3">
      <c r="A97" s="9" t="s">
        <v>204</v>
      </c>
      <c r="B97" s="4"/>
      <c r="C97" s="8">
        <v>300</v>
      </c>
      <c r="D97" s="12">
        <f t="shared" si="2"/>
        <v>-300</v>
      </c>
    </row>
    <row r="98" spans="1:4" x14ac:dyDescent="0.3">
      <c r="A98" s="3" t="s">
        <v>82</v>
      </c>
      <c r="B98" s="5">
        <f>2000</f>
        <v>2000</v>
      </c>
      <c r="C98" s="8">
        <v>2000</v>
      </c>
      <c r="D98" s="12">
        <f t="shared" si="2"/>
        <v>0</v>
      </c>
    </row>
    <row r="99" spans="1:4" x14ac:dyDescent="0.3">
      <c r="A99" s="3" t="s">
        <v>83</v>
      </c>
      <c r="B99" s="5">
        <f>455.13</f>
        <v>455.13</v>
      </c>
      <c r="C99" s="8"/>
      <c r="D99" s="12">
        <f t="shared" si="2"/>
        <v>455.13</v>
      </c>
    </row>
    <row r="100" spans="1:4" x14ac:dyDescent="0.3">
      <c r="A100" s="3" t="s">
        <v>84</v>
      </c>
      <c r="B100" s="5">
        <f>3982.3</f>
        <v>3982.3</v>
      </c>
      <c r="C100" s="8"/>
      <c r="D100" s="12">
        <f t="shared" si="2"/>
        <v>3982.3</v>
      </c>
    </row>
    <row r="101" spans="1:4" x14ac:dyDescent="0.3">
      <c r="A101" s="3" t="s">
        <v>85</v>
      </c>
      <c r="B101" s="5">
        <f>417.05</f>
        <v>417.05</v>
      </c>
      <c r="C101" s="8"/>
      <c r="D101" s="12">
        <f t="shared" si="2"/>
        <v>417.05</v>
      </c>
    </row>
    <row r="102" spans="1:4" x14ac:dyDescent="0.3">
      <c r="A102" s="3" t="s">
        <v>86</v>
      </c>
      <c r="B102" s="5">
        <f>111.22</f>
        <v>111.22</v>
      </c>
      <c r="C102" s="8">
        <v>100</v>
      </c>
      <c r="D102" s="12">
        <f t="shared" si="2"/>
        <v>11.219999999999999</v>
      </c>
    </row>
    <row r="103" spans="1:4" x14ac:dyDescent="0.3">
      <c r="A103" s="3" t="s">
        <v>87</v>
      </c>
      <c r="B103" s="5">
        <f>10407.18</f>
        <v>10407.18</v>
      </c>
      <c r="C103" s="8">
        <v>8200</v>
      </c>
      <c r="D103" s="12">
        <f t="shared" si="2"/>
        <v>2207.1800000000003</v>
      </c>
    </row>
    <row r="104" spans="1:4" x14ac:dyDescent="0.3">
      <c r="A104" s="9" t="s">
        <v>205</v>
      </c>
      <c r="B104" s="5"/>
      <c r="C104" s="8">
        <v>160</v>
      </c>
      <c r="D104" s="12">
        <f t="shared" si="2"/>
        <v>-160</v>
      </c>
    </row>
    <row r="105" spans="1:4" x14ac:dyDescent="0.3">
      <c r="A105" s="3" t="s">
        <v>88</v>
      </c>
      <c r="B105" s="5">
        <f>1015.12</f>
        <v>1015.12</v>
      </c>
      <c r="C105" s="8">
        <v>600</v>
      </c>
      <c r="D105" s="12">
        <f t="shared" si="2"/>
        <v>415.12</v>
      </c>
    </row>
    <row r="106" spans="1:4" x14ac:dyDescent="0.3">
      <c r="A106" s="3" t="s">
        <v>89</v>
      </c>
      <c r="B106" s="5">
        <f>2039.87</f>
        <v>2039.87</v>
      </c>
      <c r="C106" s="8">
        <v>2540</v>
      </c>
      <c r="D106" s="12">
        <f t="shared" si="2"/>
        <v>-500.13000000000011</v>
      </c>
    </row>
    <row r="107" spans="1:4" x14ac:dyDescent="0.3">
      <c r="A107" s="9" t="s">
        <v>206</v>
      </c>
      <c r="B107" s="5">
        <f>1500</f>
        <v>1500</v>
      </c>
      <c r="C107" s="8">
        <v>1500</v>
      </c>
      <c r="D107" s="12">
        <f t="shared" si="2"/>
        <v>0</v>
      </c>
    </row>
    <row r="108" spans="1:4" x14ac:dyDescent="0.3">
      <c r="A108" s="3" t="s">
        <v>90</v>
      </c>
      <c r="B108" s="5">
        <f>34237.8</f>
        <v>34237.800000000003</v>
      </c>
      <c r="C108" s="8">
        <v>33000</v>
      </c>
      <c r="D108" s="12">
        <f t="shared" si="2"/>
        <v>1237.8000000000029</v>
      </c>
    </row>
    <row r="109" spans="1:4" x14ac:dyDescent="0.3">
      <c r="A109" s="3" t="s">
        <v>91</v>
      </c>
      <c r="B109" s="5">
        <f>2480.17</f>
        <v>2480.17</v>
      </c>
      <c r="C109" s="8">
        <v>2100</v>
      </c>
      <c r="D109" s="12">
        <f t="shared" si="2"/>
        <v>380.17000000000007</v>
      </c>
    </row>
    <row r="110" spans="1:4" x14ac:dyDescent="0.3">
      <c r="A110" s="3" t="s">
        <v>92</v>
      </c>
      <c r="B110" s="5">
        <f>5919.86</f>
        <v>5919.86</v>
      </c>
      <c r="C110" s="8">
        <v>4500</v>
      </c>
      <c r="D110" s="12">
        <f t="shared" si="2"/>
        <v>1419.8599999999997</v>
      </c>
    </row>
    <row r="111" spans="1:4" x14ac:dyDescent="0.3">
      <c r="A111" s="3" t="s">
        <v>93</v>
      </c>
      <c r="B111" s="5">
        <f>2945.7</f>
        <v>2945.7</v>
      </c>
      <c r="C111" s="8">
        <v>2750</v>
      </c>
      <c r="D111" s="12">
        <f t="shared" si="2"/>
        <v>195.69999999999982</v>
      </c>
    </row>
    <row r="112" spans="1:4" x14ac:dyDescent="0.3">
      <c r="A112" s="3" t="s">
        <v>94</v>
      </c>
      <c r="B112" s="5">
        <f>402.95</f>
        <v>402.95</v>
      </c>
      <c r="C112" s="8">
        <v>400</v>
      </c>
      <c r="D112" s="12">
        <f t="shared" si="2"/>
        <v>2.9499999999999886</v>
      </c>
    </row>
    <row r="113" spans="1:4" x14ac:dyDescent="0.3">
      <c r="A113" s="3" t="s">
        <v>95</v>
      </c>
      <c r="B113" s="5">
        <f>2308.62</f>
        <v>2308.62</v>
      </c>
      <c r="C113" s="8">
        <v>2300</v>
      </c>
      <c r="D113" s="12">
        <f t="shared" si="2"/>
        <v>8.6199999999998909</v>
      </c>
    </row>
    <row r="114" spans="1:4" x14ac:dyDescent="0.3">
      <c r="A114" s="3" t="s">
        <v>96</v>
      </c>
      <c r="B114" s="6">
        <f>(B112)+(B113)</f>
        <v>2711.5699999999997</v>
      </c>
      <c r="C114" s="18">
        <f>SUM(C112:C113)</f>
        <v>2700</v>
      </c>
      <c r="D114" s="17">
        <f t="shared" si="2"/>
        <v>11.569999999999709</v>
      </c>
    </row>
    <row r="115" spans="1:4" x14ac:dyDescent="0.3">
      <c r="A115" s="3" t="s">
        <v>97</v>
      </c>
      <c r="B115" s="5">
        <f>604.64</f>
        <v>604.64</v>
      </c>
      <c r="C115" s="8">
        <v>600</v>
      </c>
      <c r="D115" s="12">
        <f t="shared" si="2"/>
        <v>4.6399999999999864</v>
      </c>
    </row>
    <row r="116" spans="1:4" x14ac:dyDescent="0.3">
      <c r="A116" s="3" t="s">
        <v>98</v>
      </c>
      <c r="B116" s="5">
        <f>75</f>
        <v>75</v>
      </c>
      <c r="C116" s="8"/>
      <c r="D116" s="12">
        <f t="shared" si="2"/>
        <v>75</v>
      </c>
    </row>
    <row r="117" spans="1:4" x14ac:dyDescent="0.3">
      <c r="A117" s="3" t="s">
        <v>99</v>
      </c>
      <c r="B117" s="5">
        <f>5806.58</f>
        <v>5806.58</v>
      </c>
      <c r="C117" s="8">
        <v>5585</v>
      </c>
      <c r="D117" s="12">
        <f t="shared" si="2"/>
        <v>221.57999999999993</v>
      </c>
    </row>
    <row r="118" spans="1:4" x14ac:dyDescent="0.3">
      <c r="A118" s="3" t="s">
        <v>100</v>
      </c>
      <c r="B118" s="5">
        <f>511.67</f>
        <v>511.67</v>
      </c>
      <c r="C118" s="8"/>
      <c r="D118" s="12">
        <f t="shared" si="2"/>
        <v>511.67</v>
      </c>
    </row>
    <row r="119" spans="1:4" x14ac:dyDescent="0.3">
      <c r="A119" s="3" t="s">
        <v>101</v>
      </c>
      <c r="B119" s="5">
        <f>376.97</f>
        <v>376.97</v>
      </c>
      <c r="C119" s="8">
        <v>560</v>
      </c>
      <c r="D119" s="12">
        <f t="shared" si="2"/>
        <v>-183.02999999999997</v>
      </c>
    </row>
    <row r="120" spans="1:4" x14ac:dyDescent="0.3">
      <c r="A120" s="3" t="s">
        <v>102</v>
      </c>
      <c r="B120" s="5">
        <f>964.92</f>
        <v>964.92</v>
      </c>
      <c r="C120" s="8">
        <v>864</v>
      </c>
      <c r="D120" s="12">
        <f t="shared" si="2"/>
        <v>100.91999999999996</v>
      </c>
    </row>
    <row r="121" spans="1:4" x14ac:dyDescent="0.3">
      <c r="A121" s="3" t="s">
        <v>103</v>
      </c>
      <c r="B121" s="5">
        <f>8430</f>
        <v>8430</v>
      </c>
      <c r="C121" s="8">
        <v>9000</v>
      </c>
      <c r="D121" s="12">
        <f t="shared" si="2"/>
        <v>-570</v>
      </c>
    </row>
    <row r="122" spans="1:4" x14ac:dyDescent="0.3">
      <c r="A122" s="3" t="s">
        <v>104</v>
      </c>
      <c r="B122" s="5">
        <f>319.55</f>
        <v>319.55</v>
      </c>
      <c r="C122" s="8">
        <v>900</v>
      </c>
      <c r="D122" s="12">
        <f t="shared" si="2"/>
        <v>-580.45000000000005</v>
      </c>
    </row>
    <row r="123" spans="1:4" x14ac:dyDescent="0.3">
      <c r="A123" s="3" t="s">
        <v>105</v>
      </c>
      <c r="B123" s="5">
        <f>52340.03</f>
        <v>52340.03</v>
      </c>
      <c r="C123" s="8">
        <v>51000</v>
      </c>
      <c r="D123" s="12">
        <f t="shared" si="2"/>
        <v>1340.0299999999988</v>
      </c>
    </row>
    <row r="124" spans="1:4" x14ac:dyDescent="0.3">
      <c r="A124" s="3" t="s">
        <v>106</v>
      </c>
      <c r="B124" s="5">
        <f>23385.01</f>
        <v>23385.01</v>
      </c>
      <c r="C124" s="8">
        <v>22000</v>
      </c>
      <c r="D124" s="12">
        <f t="shared" si="2"/>
        <v>1385.0099999999984</v>
      </c>
    </row>
    <row r="125" spans="1:4" x14ac:dyDescent="0.3">
      <c r="A125" s="3" t="s">
        <v>107</v>
      </c>
      <c r="B125" s="5">
        <f>366.23</f>
        <v>366.23</v>
      </c>
      <c r="C125" s="8">
        <v>1700</v>
      </c>
      <c r="D125" s="12">
        <f t="shared" si="2"/>
        <v>-1333.77</v>
      </c>
    </row>
    <row r="126" spans="1:4" x14ac:dyDescent="0.3">
      <c r="A126" s="3" t="s">
        <v>108</v>
      </c>
      <c r="B126" s="5">
        <f>134.4</f>
        <v>134.4</v>
      </c>
      <c r="C126" s="8"/>
      <c r="D126" s="12">
        <f t="shared" si="2"/>
        <v>134.4</v>
      </c>
    </row>
    <row r="127" spans="1:4" x14ac:dyDescent="0.3">
      <c r="A127" s="3" t="s">
        <v>109</v>
      </c>
      <c r="B127" s="5">
        <f>1237.88</f>
        <v>1237.8800000000001</v>
      </c>
      <c r="C127" s="8">
        <v>700</v>
      </c>
      <c r="D127" s="12">
        <f t="shared" si="2"/>
        <v>537.88000000000011</v>
      </c>
    </row>
    <row r="128" spans="1:4" x14ac:dyDescent="0.3">
      <c r="A128" s="3" t="s">
        <v>110</v>
      </c>
      <c r="B128" s="5">
        <f>2216.23</f>
        <v>2216.23</v>
      </c>
      <c r="C128" s="8"/>
      <c r="D128" s="12">
        <f t="shared" si="2"/>
        <v>2216.23</v>
      </c>
    </row>
    <row r="129" spans="1:4" x14ac:dyDescent="0.3">
      <c r="A129" s="3" t="s">
        <v>111</v>
      </c>
      <c r="B129" s="5">
        <f>22320</f>
        <v>22320</v>
      </c>
      <c r="C129" s="8">
        <v>17500</v>
      </c>
      <c r="D129" s="12">
        <f t="shared" si="2"/>
        <v>4820</v>
      </c>
    </row>
    <row r="130" spans="1:4" x14ac:dyDescent="0.3">
      <c r="A130" s="3" t="s">
        <v>112</v>
      </c>
      <c r="B130" s="5">
        <f>490.31</f>
        <v>490.31</v>
      </c>
      <c r="C130" s="8">
        <v>500</v>
      </c>
      <c r="D130" s="12">
        <f t="shared" si="2"/>
        <v>-9.6899999999999977</v>
      </c>
    </row>
    <row r="131" spans="1:4" x14ac:dyDescent="0.3">
      <c r="A131" s="3" t="s">
        <v>113</v>
      </c>
      <c r="B131" s="5">
        <f>2020</f>
        <v>2020</v>
      </c>
      <c r="C131" s="8">
        <v>1000</v>
      </c>
      <c r="D131" s="12">
        <f t="shared" si="2"/>
        <v>1020</v>
      </c>
    </row>
    <row r="132" spans="1:4" x14ac:dyDescent="0.3">
      <c r="A132" s="3" t="s">
        <v>114</v>
      </c>
      <c r="B132" s="5">
        <f>1200</f>
        <v>1200</v>
      </c>
      <c r="C132" s="8">
        <v>1200</v>
      </c>
      <c r="D132" s="12">
        <f t="shared" si="2"/>
        <v>0</v>
      </c>
    </row>
    <row r="133" spans="1:4" x14ac:dyDescent="0.3">
      <c r="A133" s="3" t="s">
        <v>115</v>
      </c>
      <c r="B133" s="5">
        <f>5556.57</f>
        <v>5556.57</v>
      </c>
      <c r="C133" s="8">
        <v>4500</v>
      </c>
      <c r="D133" s="12">
        <f t="shared" si="2"/>
        <v>1056.5699999999997</v>
      </c>
    </row>
    <row r="134" spans="1:4" x14ac:dyDescent="0.3">
      <c r="A134" s="3" t="s">
        <v>116</v>
      </c>
      <c r="B134" s="5">
        <f>515</f>
        <v>515</v>
      </c>
      <c r="C134" s="8">
        <v>400</v>
      </c>
      <c r="D134" s="12">
        <f t="shared" si="2"/>
        <v>115</v>
      </c>
    </row>
    <row r="135" spans="1:4" x14ac:dyDescent="0.3">
      <c r="A135" s="3" t="s">
        <v>117</v>
      </c>
      <c r="B135" s="5">
        <f>2743</f>
        <v>2743</v>
      </c>
      <c r="C135" s="8">
        <v>1271</v>
      </c>
      <c r="D135" s="12">
        <f t="shared" si="2"/>
        <v>1472</v>
      </c>
    </row>
    <row r="136" spans="1:4" x14ac:dyDescent="0.3">
      <c r="A136" s="3" t="s">
        <v>118</v>
      </c>
      <c r="B136" s="5">
        <f>294.25</f>
        <v>294.25</v>
      </c>
      <c r="C136" s="8">
        <v>600</v>
      </c>
      <c r="D136" s="12">
        <f t="shared" ref="D136:D201" si="3">B136-C136</f>
        <v>-305.75</v>
      </c>
    </row>
    <row r="137" spans="1:4" x14ac:dyDescent="0.3">
      <c r="A137" s="3" t="s">
        <v>119</v>
      </c>
      <c r="B137" s="5">
        <f>590.09</f>
        <v>590.09</v>
      </c>
      <c r="C137" s="8">
        <v>1000</v>
      </c>
      <c r="D137" s="12">
        <f t="shared" si="3"/>
        <v>-409.90999999999997</v>
      </c>
    </row>
    <row r="138" spans="1:4" x14ac:dyDescent="0.3">
      <c r="A138" s="3" t="s">
        <v>120</v>
      </c>
      <c r="B138" s="6">
        <f>(((((((((((((((((((((((((((((((((((((B96)+(B98))+(B99))+(B100))+(B101))+(B102))+(B103))+(B105))+(B106))+(B107))+(B108))+(B109))+(B110))+(B111))+(B114))+(B115))+(B116))+(B117))+(B118))+(B119))+(B120))+(B121))+(B122))+(B123))+(B124))+(B125))+(B126))+(B127))+(B128))+(B129))+(B130))+(B131))+(B132))+(B133))+(B134))+(B135))+(B136))+(B137)</f>
        <v>202721.30000000005</v>
      </c>
      <c r="C138" s="7">
        <f>(((((((((((((((((((((((((((((((((((((C97)+(C98))+(C99))+(C100))+(C101))+(C102))+(C103))+C104+(C105))+(C106))+(C107))+(C108))+(C109))+(C110))+(C111))+(C114))+(C115))+(C116))+(C117))+(C118))+(C119))+(C120))+(C121))+(C122))+(C123))+(C124))+(C125))+(C126))+(C127))+(C128))+(C129))+(C130))+(C131))+(C132))+(C133))+(C134))+(C135))+(C136))+(C137)</f>
        <v>181330</v>
      </c>
      <c r="D138" s="17">
        <f t="shared" si="3"/>
        <v>21391.300000000047</v>
      </c>
    </row>
    <row r="139" spans="1:4" x14ac:dyDescent="0.3">
      <c r="A139" s="3" t="s">
        <v>121</v>
      </c>
      <c r="B139" s="4"/>
      <c r="C139" s="8"/>
      <c r="D139" s="12"/>
    </row>
    <row r="140" spans="1:4" x14ac:dyDescent="0.3">
      <c r="A140" s="3" t="s">
        <v>122</v>
      </c>
      <c r="B140" s="5">
        <v>186.64</v>
      </c>
      <c r="C140" s="8">
        <v>250</v>
      </c>
      <c r="D140" s="12">
        <f t="shared" si="3"/>
        <v>-63.360000000000014</v>
      </c>
    </row>
    <row r="141" spans="1:4" x14ac:dyDescent="0.3">
      <c r="A141" s="9" t="s">
        <v>198</v>
      </c>
      <c r="B141" s="5"/>
      <c r="C141" s="8">
        <v>250</v>
      </c>
      <c r="D141" s="12">
        <f t="shared" si="3"/>
        <v>-250</v>
      </c>
    </row>
    <row r="142" spans="1:4" x14ac:dyDescent="0.3">
      <c r="A142" s="3" t="s">
        <v>123</v>
      </c>
      <c r="B142" s="5">
        <f>0.13</f>
        <v>0.13</v>
      </c>
      <c r="C142" s="8">
        <v>50</v>
      </c>
      <c r="D142" s="12">
        <f t="shared" si="3"/>
        <v>-49.87</v>
      </c>
    </row>
    <row r="143" spans="1:4" x14ac:dyDescent="0.3">
      <c r="A143" s="3" t="s">
        <v>124</v>
      </c>
      <c r="B143" s="5">
        <f>1035.75</f>
        <v>1035.75</v>
      </c>
      <c r="C143" s="8">
        <v>3000</v>
      </c>
      <c r="D143" s="12">
        <f t="shared" si="3"/>
        <v>-1964.25</v>
      </c>
    </row>
    <row r="144" spans="1:4" x14ac:dyDescent="0.3">
      <c r="A144" s="9" t="s">
        <v>199</v>
      </c>
      <c r="B144" s="5"/>
      <c r="C144" s="8">
        <v>25</v>
      </c>
      <c r="D144" s="12">
        <f t="shared" si="3"/>
        <v>-25</v>
      </c>
    </row>
    <row r="145" spans="1:4" x14ac:dyDescent="0.3">
      <c r="A145" s="9" t="s">
        <v>200</v>
      </c>
      <c r="B145" s="5"/>
      <c r="C145" s="8">
        <v>25</v>
      </c>
      <c r="D145" s="12">
        <f t="shared" si="3"/>
        <v>-25</v>
      </c>
    </row>
    <row r="146" spans="1:4" x14ac:dyDescent="0.3">
      <c r="A146" s="9" t="s">
        <v>189</v>
      </c>
      <c r="B146" s="5"/>
      <c r="C146" s="8">
        <v>175</v>
      </c>
      <c r="D146" s="12">
        <f t="shared" si="3"/>
        <v>-175</v>
      </c>
    </row>
    <row r="147" spans="1:4" x14ac:dyDescent="0.3">
      <c r="A147" s="3" t="s">
        <v>125</v>
      </c>
      <c r="B147" s="5">
        <f>18773.82</f>
        <v>18773.82</v>
      </c>
      <c r="C147" s="8">
        <v>5000</v>
      </c>
      <c r="D147" s="12">
        <f t="shared" si="3"/>
        <v>13773.82</v>
      </c>
    </row>
    <row r="148" spans="1:4" x14ac:dyDescent="0.3">
      <c r="A148" s="3" t="s">
        <v>126</v>
      </c>
      <c r="B148" s="5">
        <f>1086</f>
        <v>1086</v>
      </c>
      <c r="C148" s="8">
        <v>92</v>
      </c>
      <c r="D148" s="12">
        <f t="shared" si="3"/>
        <v>994</v>
      </c>
    </row>
    <row r="149" spans="1:4" x14ac:dyDescent="0.3">
      <c r="A149" s="3" t="s">
        <v>127</v>
      </c>
      <c r="B149" s="6">
        <f>(B147)+(B148)</f>
        <v>19859.82</v>
      </c>
      <c r="C149" s="6">
        <f>(C147)+(C148)</f>
        <v>5092</v>
      </c>
      <c r="D149" s="17">
        <f t="shared" si="3"/>
        <v>14767.82</v>
      </c>
    </row>
    <row r="150" spans="1:4" x14ac:dyDescent="0.3">
      <c r="A150" s="3" t="s">
        <v>128</v>
      </c>
      <c r="B150" s="5">
        <f>930.5</f>
        <v>930.5</v>
      </c>
      <c r="C150" s="8">
        <v>20000</v>
      </c>
      <c r="D150" s="12">
        <f t="shared" si="3"/>
        <v>-19069.5</v>
      </c>
    </row>
    <row r="151" spans="1:4" x14ac:dyDescent="0.3">
      <c r="A151" s="3" t="s">
        <v>129</v>
      </c>
      <c r="B151" s="5">
        <v>164.81</v>
      </c>
      <c r="C151" s="8">
        <v>1000</v>
      </c>
      <c r="D151" s="12">
        <f t="shared" si="3"/>
        <v>-835.19</v>
      </c>
    </row>
    <row r="152" spans="1:4" x14ac:dyDescent="0.3">
      <c r="A152" s="3" t="s">
        <v>130</v>
      </c>
      <c r="B152" s="5">
        <f>0</f>
        <v>0</v>
      </c>
      <c r="C152" s="8"/>
      <c r="D152" s="12">
        <f t="shared" si="3"/>
        <v>0</v>
      </c>
    </row>
    <row r="153" spans="1:4" x14ac:dyDescent="0.3">
      <c r="A153" s="3" t="s">
        <v>131</v>
      </c>
      <c r="B153" s="6">
        <f>(B151)+(B152)</f>
        <v>164.81</v>
      </c>
      <c r="C153" s="6">
        <f>(C151)+(C152)</f>
        <v>1000</v>
      </c>
      <c r="D153" s="17">
        <f t="shared" si="3"/>
        <v>-835.19</v>
      </c>
    </row>
    <row r="154" spans="1:4" x14ac:dyDescent="0.3">
      <c r="A154" s="3" t="s">
        <v>132</v>
      </c>
      <c r="B154" s="5">
        <f>2169.73</f>
        <v>2169.73</v>
      </c>
      <c r="C154" s="8">
        <v>1300</v>
      </c>
      <c r="D154" s="12">
        <f t="shared" si="3"/>
        <v>869.73</v>
      </c>
    </row>
    <row r="155" spans="1:4" x14ac:dyDescent="0.3">
      <c r="A155" s="3" t="s">
        <v>133</v>
      </c>
      <c r="B155" s="5">
        <f>287.27</f>
        <v>287.27</v>
      </c>
      <c r="C155" s="8">
        <v>300</v>
      </c>
      <c r="D155" s="12">
        <f t="shared" si="3"/>
        <v>-12.730000000000018</v>
      </c>
    </row>
    <row r="156" spans="1:4" x14ac:dyDescent="0.3">
      <c r="A156" s="3" t="s">
        <v>134</v>
      </c>
      <c r="B156" s="5">
        <f>0</f>
        <v>0</v>
      </c>
      <c r="C156" s="8">
        <v>600</v>
      </c>
      <c r="D156" s="12">
        <f t="shared" si="3"/>
        <v>-600</v>
      </c>
    </row>
    <row r="157" spans="1:4" x14ac:dyDescent="0.3">
      <c r="A157" s="3" t="s">
        <v>135</v>
      </c>
      <c r="B157" s="6">
        <f>((B154)+(B155))+(B156)</f>
        <v>2457</v>
      </c>
      <c r="C157" s="6">
        <f>((C154)+(C155))+(C156)</f>
        <v>2200</v>
      </c>
      <c r="D157" s="17">
        <f t="shared" si="3"/>
        <v>257</v>
      </c>
    </row>
    <row r="158" spans="1:4" x14ac:dyDescent="0.3">
      <c r="A158" s="9" t="s">
        <v>190</v>
      </c>
      <c r="B158" s="10"/>
      <c r="C158" s="8">
        <v>10000</v>
      </c>
      <c r="D158" s="12">
        <f t="shared" si="3"/>
        <v>-10000</v>
      </c>
    </row>
    <row r="159" spans="1:4" x14ac:dyDescent="0.3">
      <c r="A159" s="3" t="s">
        <v>136</v>
      </c>
      <c r="B159" s="4"/>
      <c r="C159" s="8">
        <v>200</v>
      </c>
      <c r="D159" s="12">
        <f t="shared" si="3"/>
        <v>-200</v>
      </c>
    </row>
    <row r="160" spans="1:4" x14ac:dyDescent="0.3">
      <c r="A160" s="3" t="s">
        <v>209</v>
      </c>
      <c r="B160" s="4">
        <v>66801.850000000006</v>
      </c>
      <c r="C160" s="8">
        <v>17716</v>
      </c>
      <c r="D160" s="12">
        <f t="shared" si="3"/>
        <v>49085.850000000006</v>
      </c>
    </row>
    <row r="161" spans="1:4" x14ac:dyDescent="0.3">
      <c r="A161" s="3" t="s">
        <v>137</v>
      </c>
      <c r="B161" s="5">
        <f>0</f>
        <v>0</v>
      </c>
      <c r="C161" s="8">
        <v>240</v>
      </c>
      <c r="D161" s="12">
        <f t="shared" si="3"/>
        <v>-240</v>
      </c>
    </row>
    <row r="162" spans="1:4" x14ac:dyDescent="0.3">
      <c r="A162" s="3" t="s">
        <v>138</v>
      </c>
      <c r="B162" s="5">
        <f>18797</f>
        <v>18797</v>
      </c>
      <c r="C162" s="8">
        <v>28500</v>
      </c>
      <c r="D162" s="12">
        <f t="shared" si="3"/>
        <v>-9703</v>
      </c>
    </row>
    <row r="163" spans="1:4" x14ac:dyDescent="0.3">
      <c r="A163" s="3" t="s">
        <v>139</v>
      </c>
      <c r="B163" s="5">
        <f>5740.15</f>
        <v>5740.15</v>
      </c>
      <c r="C163" s="8">
        <v>5000</v>
      </c>
      <c r="D163" s="12">
        <f t="shared" si="3"/>
        <v>740.14999999999964</v>
      </c>
    </row>
    <row r="164" spans="1:4" x14ac:dyDescent="0.3">
      <c r="A164" s="3" t="s">
        <v>140</v>
      </c>
      <c r="B164" s="5">
        <v>7815</v>
      </c>
      <c r="C164" s="8">
        <v>5344</v>
      </c>
      <c r="D164" s="12">
        <f t="shared" si="3"/>
        <v>2471</v>
      </c>
    </row>
    <row r="165" spans="1:4" x14ac:dyDescent="0.3">
      <c r="A165" s="3" t="s">
        <v>141</v>
      </c>
      <c r="B165" s="5">
        <f>368.7</f>
        <v>368.7</v>
      </c>
      <c r="C165" s="8">
        <v>315</v>
      </c>
      <c r="D165" s="12">
        <f t="shared" si="3"/>
        <v>53.699999999999989</v>
      </c>
    </row>
    <row r="166" spans="1:4" x14ac:dyDescent="0.3">
      <c r="A166" s="3" t="s">
        <v>142</v>
      </c>
      <c r="B166" s="5">
        <f>7455</f>
        <v>7455</v>
      </c>
      <c r="C166" s="8">
        <v>7000</v>
      </c>
      <c r="D166" s="12">
        <f t="shared" si="3"/>
        <v>455</v>
      </c>
    </row>
    <row r="167" spans="1:4" x14ac:dyDescent="0.3">
      <c r="A167" s="3" t="s">
        <v>143</v>
      </c>
      <c r="B167" s="5">
        <f>758.73</f>
        <v>758.73</v>
      </c>
      <c r="C167" s="8">
        <v>1500</v>
      </c>
      <c r="D167" s="12">
        <f t="shared" si="3"/>
        <v>-741.27</v>
      </c>
    </row>
    <row r="168" spans="1:4" x14ac:dyDescent="0.3">
      <c r="A168" s="3" t="s">
        <v>144</v>
      </c>
      <c r="B168" s="5">
        <f>550</f>
        <v>550</v>
      </c>
      <c r="C168" s="8">
        <v>875</v>
      </c>
      <c r="D168" s="12">
        <f t="shared" si="3"/>
        <v>-325</v>
      </c>
    </row>
    <row r="169" spans="1:4" x14ac:dyDescent="0.3">
      <c r="A169" s="3" t="s">
        <v>145</v>
      </c>
      <c r="B169" s="6">
        <f>((((B164)+(B165))+(B166))+(B167))+(B168)</f>
        <v>16947.43</v>
      </c>
      <c r="C169" s="6">
        <f>((((C164)+(C165))+(C166))+(C167))+(C168)</f>
        <v>15034</v>
      </c>
      <c r="D169" s="17">
        <f t="shared" si="3"/>
        <v>1913.4300000000003</v>
      </c>
    </row>
    <row r="170" spans="1:4" x14ac:dyDescent="0.3">
      <c r="A170" s="3" t="s">
        <v>210</v>
      </c>
      <c r="B170" s="10"/>
      <c r="C170" s="10">
        <v>300</v>
      </c>
      <c r="D170" s="17">
        <f t="shared" si="3"/>
        <v>-300</v>
      </c>
    </row>
    <row r="171" spans="1:4" x14ac:dyDescent="0.3">
      <c r="A171" s="3" t="s">
        <v>146</v>
      </c>
      <c r="B171" s="5">
        <f>97</f>
        <v>97</v>
      </c>
      <c r="C171" s="8">
        <v>200</v>
      </c>
      <c r="D171" s="12">
        <f t="shared" si="3"/>
        <v>-103</v>
      </c>
    </row>
    <row r="172" spans="1:4" x14ac:dyDescent="0.3">
      <c r="A172" s="3" t="s">
        <v>147</v>
      </c>
      <c r="B172" s="6">
        <f>(((((B159)+B160+(B161))+(B162))+(B163))+(B169))+(B171)</f>
        <v>108383.43</v>
      </c>
      <c r="C172" s="6">
        <f>((((C158+(C159)+C160+(C161))+(C162))+(C163))+(C169))+C170+(C171)</f>
        <v>77190</v>
      </c>
      <c r="D172" s="6">
        <f t="shared" ref="D172" si="4">(((((D159)+D160+(D161))+(D162))+(D163))+(D169))+(D171)</f>
        <v>41493.430000000008</v>
      </c>
    </row>
    <row r="173" spans="1:4" x14ac:dyDescent="0.3">
      <c r="A173" s="3" t="s">
        <v>148</v>
      </c>
      <c r="B173" s="5">
        <f>2360.23</f>
        <v>2360.23</v>
      </c>
      <c r="C173" s="8">
        <v>5000</v>
      </c>
      <c r="D173" s="12">
        <f t="shared" si="3"/>
        <v>-2639.77</v>
      </c>
    </row>
    <row r="174" spans="1:4" x14ac:dyDescent="0.3">
      <c r="A174" s="9" t="s">
        <v>191</v>
      </c>
      <c r="B174" s="5"/>
      <c r="C174" s="8">
        <v>300</v>
      </c>
      <c r="D174" s="12">
        <f t="shared" si="3"/>
        <v>-300</v>
      </c>
    </row>
    <row r="175" spans="1:4" x14ac:dyDescent="0.3">
      <c r="A175" s="3" t="s">
        <v>149</v>
      </c>
      <c r="B175" s="5">
        <f>160</f>
        <v>160</v>
      </c>
      <c r="C175" s="8">
        <v>250</v>
      </c>
      <c r="D175" s="12">
        <f t="shared" si="3"/>
        <v>-90</v>
      </c>
    </row>
    <row r="176" spans="1:4" x14ac:dyDescent="0.3">
      <c r="A176" s="3" t="s">
        <v>150</v>
      </c>
      <c r="B176" s="5">
        <f>556.96</f>
        <v>556.96</v>
      </c>
      <c r="C176" s="8">
        <v>800</v>
      </c>
      <c r="D176" s="12">
        <f t="shared" si="3"/>
        <v>-243.03999999999996</v>
      </c>
    </row>
    <row r="177" spans="1:4" x14ac:dyDescent="0.3">
      <c r="A177" s="3" t="s">
        <v>151</v>
      </c>
      <c r="B177" s="5">
        <f>6365.05</f>
        <v>6365.05</v>
      </c>
      <c r="C177" s="8"/>
      <c r="D177" s="12">
        <f t="shared" si="3"/>
        <v>6365.05</v>
      </c>
    </row>
    <row r="178" spans="1:4" x14ac:dyDescent="0.3">
      <c r="A178" s="3" t="s">
        <v>152</v>
      </c>
      <c r="B178" s="4"/>
      <c r="C178" s="8"/>
      <c r="D178" s="12">
        <f t="shared" si="3"/>
        <v>0</v>
      </c>
    </row>
    <row r="179" spans="1:4" x14ac:dyDescent="0.3">
      <c r="A179" s="3" t="s">
        <v>153</v>
      </c>
      <c r="B179" s="5">
        <f>154.3</f>
        <v>154.30000000000001</v>
      </c>
      <c r="C179" s="8">
        <v>950</v>
      </c>
      <c r="D179" s="12">
        <f t="shared" si="3"/>
        <v>-795.7</v>
      </c>
    </row>
    <row r="180" spans="1:4" x14ac:dyDescent="0.3">
      <c r="A180" s="3" t="s">
        <v>154</v>
      </c>
      <c r="B180" s="5">
        <f>84.65</f>
        <v>84.65</v>
      </c>
      <c r="C180" s="8">
        <v>950</v>
      </c>
      <c r="D180" s="12">
        <f t="shared" si="3"/>
        <v>-865.35</v>
      </c>
    </row>
    <row r="181" spans="1:4" x14ac:dyDescent="0.3">
      <c r="A181" s="9" t="s">
        <v>201</v>
      </c>
      <c r="B181" s="5"/>
      <c r="C181" s="8">
        <v>950</v>
      </c>
      <c r="D181" s="12">
        <f t="shared" si="3"/>
        <v>-950</v>
      </c>
    </row>
    <row r="182" spans="1:4" x14ac:dyDescent="0.3">
      <c r="A182" s="3" t="s">
        <v>155</v>
      </c>
      <c r="B182" s="6">
        <f>((B178)+(B179))+(B180)</f>
        <v>238.95000000000002</v>
      </c>
      <c r="C182" s="6">
        <f>SUM(C179:C181)</f>
        <v>2850</v>
      </c>
      <c r="D182" s="17">
        <f t="shared" si="3"/>
        <v>-2611.0500000000002</v>
      </c>
    </row>
    <row r="183" spans="1:4" x14ac:dyDescent="0.3">
      <c r="A183" s="3" t="s">
        <v>156</v>
      </c>
      <c r="B183" s="5">
        <f>0</f>
        <v>0</v>
      </c>
      <c r="C183" s="8">
        <v>300</v>
      </c>
      <c r="D183" s="12">
        <f t="shared" si="3"/>
        <v>-300</v>
      </c>
    </row>
    <row r="184" spans="1:4" x14ac:dyDescent="0.3">
      <c r="A184" s="3" t="s">
        <v>157</v>
      </c>
      <c r="B184" s="5">
        <f>109.24</f>
        <v>109.24</v>
      </c>
      <c r="C184" s="8">
        <v>300</v>
      </c>
      <c r="D184" s="12">
        <f t="shared" si="3"/>
        <v>-190.76</v>
      </c>
    </row>
    <row r="185" spans="1:4" x14ac:dyDescent="0.3">
      <c r="A185" s="3" t="s">
        <v>158</v>
      </c>
      <c r="B185" s="6">
        <f>(B183)+(B184)</f>
        <v>109.24</v>
      </c>
      <c r="C185" s="6">
        <f>(C183)+(C184)</f>
        <v>600</v>
      </c>
      <c r="D185" s="17">
        <f t="shared" si="3"/>
        <v>-490.76</v>
      </c>
    </row>
    <row r="186" spans="1:4" x14ac:dyDescent="0.3">
      <c r="A186" s="9" t="s">
        <v>202</v>
      </c>
      <c r="B186" s="10">
        <v>4284</v>
      </c>
      <c r="C186" s="8">
        <v>2625</v>
      </c>
      <c r="D186" s="12">
        <f t="shared" si="3"/>
        <v>1659</v>
      </c>
    </row>
    <row r="187" spans="1:4" x14ac:dyDescent="0.3">
      <c r="A187" s="9" t="s">
        <v>203</v>
      </c>
      <c r="B187" s="10"/>
      <c r="C187" s="8">
        <v>300</v>
      </c>
      <c r="D187" s="12">
        <f t="shared" si="3"/>
        <v>-300</v>
      </c>
    </row>
    <row r="188" spans="1:4" x14ac:dyDescent="0.3">
      <c r="A188" s="3" t="s">
        <v>159</v>
      </c>
      <c r="B188" s="5">
        <f>258.63</f>
        <v>258.63</v>
      </c>
      <c r="C188" s="8">
        <v>1500</v>
      </c>
      <c r="D188" s="12">
        <f t="shared" si="3"/>
        <v>-1241.3699999999999</v>
      </c>
    </row>
    <row r="189" spans="1:4" x14ac:dyDescent="0.3">
      <c r="A189" s="3" t="s">
        <v>160</v>
      </c>
      <c r="B189" s="5"/>
      <c r="C189" s="8"/>
      <c r="D189" s="12"/>
    </row>
    <row r="190" spans="1:4" x14ac:dyDescent="0.3">
      <c r="A190" s="3" t="s">
        <v>161</v>
      </c>
      <c r="B190" s="5">
        <f>7432.57</f>
        <v>7432.57</v>
      </c>
      <c r="C190" s="8">
        <v>11300</v>
      </c>
      <c r="D190" s="12">
        <f t="shared" si="3"/>
        <v>-3867.4300000000003</v>
      </c>
    </row>
    <row r="191" spans="1:4" x14ac:dyDescent="0.3">
      <c r="A191" s="3" t="s">
        <v>162</v>
      </c>
      <c r="B191" s="5">
        <f>568.59</f>
        <v>568.59</v>
      </c>
      <c r="C191" s="8">
        <v>868</v>
      </c>
      <c r="D191" s="12">
        <f t="shared" si="3"/>
        <v>-299.40999999999997</v>
      </c>
    </row>
    <row r="192" spans="1:4" x14ac:dyDescent="0.3">
      <c r="A192" s="3" t="s">
        <v>163</v>
      </c>
      <c r="B192" s="6">
        <f>((B189)+(B190))+(B191)</f>
        <v>8001.16</v>
      </c>
      <c r="C192" s="6">
        <f t="shared" ref="C192" si="5">((C189)+(C190))+(C191)</f>
        <v>12168</v>
      </c>
      <c r="D192" s="17">
        <f t="shared" si="3"/>
        <v>-4166.84</v>
      </c>
    </row>
    <row r="193" spans="1:6" x14ac:dyDescent="0.3">
      <c r="A193" s="3" t="s">
        <v>164</v>
      </c>
      <c r="B193" s="6">
        <f>((((((((((((((((B139)+(B140))+(B142))+(B143))+(B149))+(B150))+(B153))+(B157))+(B172))+(B173))+(B175))+(B176))+(B177))+(B182))+(B185))+B186+(B188))+(B192)</f>
        <v>155352.29999999999</v>
      </c>
      <c r="C193" s="6">
        <f>((((((((((((((((C139)+(C140))+C141+(C142))+(C143))+C144+C145+C146+(C149))+(C150))+(C153))+(C157))+(C172))+(C173))+C174+(C175))+(C176))+(C177))+(C182))+(C185))+C186+(C188))+(C192)</f>
        <v>135350</v>
      </c>
      <c r="D193" s="6">
        <f t="shared" ref="D193" si="6">((((((((((((((((D139)+(D140))+(D142))+(D143))+(D149))+(D150))+(D153))+(D157))+(D172))+(D173))+(D175))+(D176))+(D177))+(D182))+(D185))+D186+(D188))+(D192)</f>
        <v>31077.3</v>
      </c>
    </row>
    <row r="194" spans="1:6" x14ac:dyDescent="0.3">
      <c r="A194" s="3" t="s">
        <v>165</v>
      </c>
      <c r="B194" s="4"/>
      <c r="C194" s="8"/>
      <c r="D194" s="12"/>
    </row>
    <row r="195" spans="1:6" x14ac:dyDescent="0.3">
      <c r="A195" s="3" t="s">
        <v>166</v>
      </c>
      <c r="B195" s="5">
        <f>10500</f>
        <v>10500</v>
      </c>
      <c r="C195" s="8"/>
      <c r="D195" s="12">
        <f t="shared" si="3"/>
        <v>10500</v>
      </c>
    </row>
    <row r="196" spans="1:6" x14ac:dyDescent="0.3">
      <c r="A196" s="3" t="s">
        <v>167</v>
      </c>
      <c r="B196" s="5">
        <f>1836</f>
        <v>1836</v>
      </c>
      <c r="C196" s="8"/>
      <c r="D196" s="12">
        <f t="shared" si="3"/>
        <v>1836</v>
      </c>
    </row>
    <row r="197" spans="1:6" x14ac:dyDescent="0.3">
      <c r="A197" s="3" t="s">
        <v>168</v>
      </c>
      <c r="B197" s="6">
        <f>((B194)+(B195))+(B196)</f>
        <v>12336</v>
      </c>
      <c r="C197" s="6">
        <f>((C194)+(C195))+(C196)</f>
        <v>0</v>
      </c>
      <c r="D197" s="17">
        <f t="shared" si="3"/>
        <v>12336</v>
      </c>
    </row>
    <row r="198" spans="1:6" x14ac:dyDescent="0.3">
      <c r="A198" s="3" t="s">
        <v>169</v>
      </c>
      <c r="B198" s="5">
        <f>26.72</f>
        <v>26.72</v>
      </c>
      <c r="C198" s="8">
        <v>100</v>
      </c>
      <c r="D198" s="12">
        <f t="shared" si="3"/>
        <v>-73.28</v>
      </c>
    </row>
    <row r="199" spans="1:6" x14ac:dyDescent="0.3">
      <c r="A199" s="3" t="s">
        <v>170</v>
      </c>
      <c r="B199" s="4"/>
      <c r="C199" s="8"/>
      <c r="D199" s="12"/>
    </row>
    <row r="200" spans="1:6" x14ac:dyDescent="0.3">
      <c r="A200" s="3" t="s">
        <v>171</v>
      </c>
      <c r="B200" s="5">
        <f>1001.24</f>
        <v>1001.24</v>
      </c>
      <c r="C200" s="8"/>
      <c r="D200" s="12">
        <f t="shared" si="3"/>
        <v>1001.24</v>
      </c>
    </row>
    <row r="201" spans="1:6" x14ac:dyDescent="0.3">
      <c r="A201" s="3" t="s">
        <v>172</v>
      </c>
      <c r="B201" s="5">
        <f>17362.49</f>
        <v>17362.490000000002</v>
      </c>
      <c r="C201" s="8">
        <v>12000</v>
      </c>
      <c r="D201" s="12">
        <f t="shared" si="3"/>
        <v>5362.4900000000016</v>
      </c>
      <c r="F201" s="27"/>
    </row>
    <row r="202" spans="1:6" x14ac:dyDescent="0.3">
      <c r="A202" s="3" t="s">
        <v>173</v>
      </c>
      <c r="B202" s="6">
        <f>((B199)+(B200))+(B201)</f>
        <v>18363.730000000003</v>
      </c>
      <c r="C202" s="6">
        <f t="shared" ref="C202:D203" si="7">((C199)+(C200))+(C201)</f>
        <v>12000</v>
      </c>
      <c r="D202" s="6">
        <f t="shared" si="7"/>
        <v>6363.7300000000014</v>
      </c>
    </row>
    <row r="203" spans="1:6" x14ac:dyDescent="0.3">
      <c r="A203" s="3" t="s">
        <v>174</v>
      </c>
      <c r="B203" s="6">
        <v>406882.57</v>
      </c>
      <c r="C203" s="21">
        <v>391002</v>
      </c>
      <c r="D203" s="6">
        <f t="shared" si="7"/>
        <v>12727.460000000003</v>
      </c>
    </row>
    <row r="204" spans="1:6" x14ac:dyDescent="0.3">
      <c r="A204" s="3" t="s">
        <v>175</v>
      </c>
      <c r="B204" s="6">
        <f>(B81)-(B203)</f>
        <v>-22167.460000000021</v>
      </c>
      <c r="C204" s="6">
        <f t="shared" ref="C204:D204" si="8">(C81)-(C203)</f>
        <v>-45942</v>
      </c>
      <c r="D204" s="6">
        <f t="shared" si="8"/>
        <v>26927.649999999983</v>
      </c>
    </row>
    <row r="205" spans="1:6" x14ac:dyDescent="0.3">
      <c r="A205" s="3" t="s">
        <v>176</v>
      </c>
      <c r="B205" s="4"/>
      <c r="C205" s="8"/>
      <c r="D205" s="12"/>
    </row>
    <row r="206" spans="1:6" x14ac:dyDescent="0.3">
      <c r="A206" s="3" t="s">
        <v>177</v>
      </c>
      <c r="B206" s="5">
        <f>-0.17</f>
        <v>-0.17</v>
      </c>
      <c r="C206" s="8"/>
      <c r="D206" s="12">
        <f t="shared" ref="D206" si="9">B206-C206</f>
        <v>-0.17</v>
      </c>
    </row>
    <row r="207" spans="1:6" x14ac:dyDescent="0.3">
      <c r="A207" s="3" t="s">
        <v>178</v>
      </c>
      <c r="B207" s="6">
        <f>B206</f>
        <v>-0.17</v>
      </c>
      <c r="C207" s="6">
        <f t="shared" ref="C207:D207" si="10">C206</f>
        <v>0</v>
      </c>
      <c r="D207" s="6">
        <f t="shared" si="10"/>
        <v>-0.17</v>
      </c>
    </row>
    <row r="208" spans="1:6" x14ac:dyDescent="0.3">
      <c r="A208" s="3" t="s">
        <v>179</v>
      </c>
      <c r="B208" s="6">
        <f>(0)-(B207)</f>
        <v>0.17</v>
      </c>
      <c r="C208" s="6">
        <f t="shared" ref="C208:D208" si="11">(0)-(C207)</f>
        <v>0</v>
      </c>
      <c r="D208" s="6">
        <f t="shared" si="11"/>
        <v>0.17</v>
      </c>
    </row>
    <row r="209" spans="1:4" x14ac:dyDescent="0.3">
      <c r="A209" s="3" t="s">
        <v>180</v>
      </c>
      <c r="B209" s="7">
        <f>(B204)+(B208)</f>
        <v>-22167.290000000023</v>
      </c>
      <c r="C209" s="7">
        <f t="shared" ref="C209:D209" si="12">(C204)+(C208)</f>
        <v>-45942</v>
      </c>
      <c r="D209" s="7">
        <f t="shared" si="12"/>
        <v>26927.819999999982</v>
      </c>
    </row>
    <row r="210" spans="1:4" x14ac:dyDescent="0.3">
      <c r="A210" s="3"/>
      <c r="B210" s="4"/>
      <c r="C210" s="8"/>
      <c r="D210" s="12"/>
    </row>
    <row r="213" spans="1:4" x14ac:dyDescent="0.3">
      <c r="A213" s="28" t="s">
        <v>181</v>
      </c>
      <c r="B213" s="29"/>
    </row>
  </sheetData>
  <mergeCells count="4">
    <mergeCell ref="A213:B213"/>
    <mergeCell ref="A1:B1"/>
    <mergeCell ref="A2:B2"/>
    <mergeCell ref="A3:B3"/>
  </mergeCells>
  <printOptions headings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Activity</vt:lpstr>
      <vt:lpstr>'Statement of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2023-01-02T15:28:12Z</cp:lastPrinted>
  <dcterms:created xsi:type="dcterms:W3CDTF">2022-12-26T19:53:59Z</dcterms:created>
  <dcterms:modified xsi:type="dcterms:W3CDTF">2023-01-04T19:53:14Z</dcterms:modified>
</cp:coreProperties>
</file>